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RÉKPÁR\2018\MTBO\PONTVERSENY\"/>
    </mc:Choice>
  </mc:AlternateContent>
  <bookViews>
    <workbookView xWindow="0" yWindow="0" windowWidth="9270" windowHeight="7050" tabRatio="801" activeTab="17"/>
  </bookViews>
  <sheets>
    <sheet name="Férfi Elit" sheetId="1" r:id="rId1"/>
    <sheet name="Női Elit" sheetId="2" r:id="rId2"/>
    <sheet name="N14" sheetId="3" r:id="rId3"/>
    <sheet name="F14" sheetId="4" r:id="rId4"/>
    <sheet name="N15-17" sheetId="5" r:id="rId5"/>
    <sheet name="F15-17" sheetId="6" r:id="rId6"/>
    <sheet name="N18-20" sheetId="7" r:id="rId7"/>
    <sheet name="F18-20" sheetId="8" r:id="rId8"/>
    <sheet name="N21B" sheetId="9" r:id="rId9"/>
    <sheet name="F21B" sheetId="10" r:id="rId10"/>
    <sheet name="N40" sheetId="11" r:id="rId11"/>
    <sheet name="F40" sheetId="12" r:id="rId12"/>
    <sheet name="N50" sheetId="13" r:id="rId13"/>
    <sheet name="F50" sheetId="14" r:id="rId14"/>
    <sheet name="F50B" sheetId="19" r:id="rId15"/>
    <sheet name="N60" sheetId="22" r:id="rId16"/>
    <sheet name="F60" sheetId="15" r:id="rId17"/>
    <sheet name="F70" sheetId="17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6" l="1"/>
  <c r="Q5" i="6"/>
  <c r="R4" i="6"/>
  <c r="Q4" i="6"/>
  <c r="R3" i="6"/>
  <c r="Q3" i="6"/>
  <c r="T4" i="6"/>
  <c r="S4" i="6"/>
  <c r="T3" i="6"/>
  <c r="S3" i="6"/>
  <c r="V4" i="6" l="1"/>
  <c r="V3" i="6"/>
  <c r="T4" i="15" l="1"/>
  <c r="T3" i="13" l="1"/>
  <c r="T4" i="11"/>
  <c r="T3" i="11"/>
  <c r="T3" i="9"/>
  <c r="T3" i="2"/>
  <c r="T3" i="17"/>
  <c r="T4" i="14"/>
  <c r="T7" i="14"/>
  <c r="T11" i="10"/>
  <c r="T10" i="10"/>
  <c r="T9" i="10"/>
  <c r="T8" i="10"/>
  <c r="T5" i="10"/>
  <c r="T4" i="10"/>
  <c r="T3" i="4"/>
  <c r="S3" i="13"/>
  <c r="S4" i="11"/>
  <c r="S3" i="11"/>
  <c r="S3" i="9"/>
  <c r="S3" i="2"/>
  <c r="S4" i="15"/>
  <c r="S6" i="14"/>
  <c r="S5" i="14"/>
  <c r="S7" i="14"/>
  <c r="S11" i="10"/>
  <c r="S10" i="10"/>
  <c r="S9" i="10"/>
  <c r="S8" i="10"/>
  <c r="S5" i="10"/>
  <c r="S4" i="10"/>
  <c r="R3" i="13" l="1"/>
  <c r="Q3" i="13"/>
  <c r="R3" i="11"/>
  <c r="Q3" i="11"/>
  <c r="R8" i="9"/>
  <c r="R6" i="9"/>
  <c r="R4" i="9"/>
  <c r="R3" i="9"/>
  <c r="R5" i="9"/>
  <c r="Q8" i="9"/>
  <c r="Q6" i="9"/>
  <c r="Q4" i="9"/>
  <c r="Q3" i="9"/>
  <c r="Q5" i="9"/>
  <c r="R4" i="2"/>
  <c r="R3" i="2"/>
  <c r="Q11" i="2"/>
  <c r="U11" i="2" s="1"/>
  <c r="Q8" i="2"/>
  <c r="Q4" i="2"/>
  <c r="Q3" i="2"/>
  <c r="R5" i="17"/>
  <c r="R4" i="17"/>
  <c r="R3" i="17"/>
  <c r="Q5" i="17"/>
  <c r="Q4" i="17"/>
  <c r="Q3" i="17"/>
  <c r="R6" i="15"/>
  <c r="R3" i="15"/>
  <c r="R4" i="15"/>
  <c r="Q5" i="15"/>
  <c r="Q3" i="15"/>
  <c r="Q6" i="15"/>
  <c r="R5" i="14"/>
  <c r="R8" i="14"/>
  <c r="R6" i="14"/>
  <c r="R9" i="14"/>
  <c r="R4" i="14"/>
  <c r="R10" i="14"/>
  <c r="Q10" i="14"/>
  <c r="Q8" i="14"/>
  <c r="Q6" i="14"/>
  <c r="Q5" i="14"/>
  <c r="Q4" i="14"/>
  <c r="Q3" i="14"/>
  <c r="R5" i="12"/>
  <c r="R3" i="12"/>
  <c r="Q6" i="12"/>
  <c r="Q16" i="12"/>
  <c r="U16" i="12" s="1"/>
  <c r="Q5" i="12"/>
  <c r="Q3" i="12"/>
  <c r="R14" i="10"/>
  <c r="R8" i="10"/>
  <c r="R11" i="10"/>
  <c r="R4" i="10"/>
  <c r="R6" i="10"/>
  <c r="R5" i="10"/>
  <c r="R3" i="10"/>
  <c r="Q11" i="10"/>
  <c r="Q6" i="10"/>
  <c r="Q5" i="10"/>
  <c r="Q3" i="10"/>
  <c r="Q4" i="10"/>
  <c r="R8" i="1"/>
  <c r="R6" i="1"/>
  <c r="R5" i="1"/>
  <c r="R4" i="1"/>
  <c r="R3" i="1"/>
  <c r="Q8" i="1"/>
  <c r="Q6" i="1"/>
  <c r="Q5" i="1"/>
  <c r="R3" i="4" l="1"/>
  <c r="R4" i="4"/>
  <c r="Q4" i="4"/>
  <c r="Q3" i="4"/>
  <c r="O5" i="12" l="1"/>
  <c r="I3" i="9" l="1"/>
  <c r="P5" i="11"/>
  <c r="P3" i="11"/>
  <c r="P7" i="11"/>
  <c r="P3" i="9"/>
  <c r="P11" i="9"/>
  <c r="U11" i="9" s="1"/>
  <c r="P5" i="7"/>
  <c r="U5" i="7" s="1"/>
  <c r="P4" i="7"/>
  <c r="U4" i="7" s="1"/>
  <c r="P3" i="7"/>
  <c r="U3" i="7" s="1"/>
  <c r="P4" i="17" l="1"/>
  <c r="P5" i="17"/>
  <c r="P3" i="17"/>
  <c r="P18" i="14"/>
  <c r="U18" i="14" s="1"/>
  <c r="P16" i="14"/>
  <c r="P5" i="14"/>
  <c r="P6" i="14"/>
  <c r="U16" i="14"/>
  <c r="P4" i="14"/>
  <c r="P11" i="12"/>
  <c r="U11" i="12" s="1"/>
  <c r="P17" i="12"/>
  <c r="P15" i="12"/>
  <c r="P6" i="12"/>
  <c r="P4" i="12"/>
  <c r="U17" i="12"/>
  <c r="U15" i="12"/>
  <c r="P14" i="10"/>
  <c r="P4" i="10"/>
  <c r="P7" i="10"/>
  <c r="P5" i="10"/>
  <c r="P6" i="10"/>
  <c r="P3" i="10"/>
  <c r="P3" i="4"/>
  <c r="P8" i="4"/>
  <c r="P6" i="4"/>
  <c r="P4" i="4"/>
  <c r="U14" i="2"/>
  <c r="P14" i="2"/>
  <c r="P4" i="2"/>
  <c r="P3" i="2"/>
  <c r="P10" i="1"/>
  <c r="P7" i="1"/>
  <c r="P6" i="1"/>
  <c r="P3" i="1"/>
  <c r="U9" i="11" l="1"/>
  <c r="O9" i="11"/>
  <c r="O7" i="11"/>
  <c r="U7" i="11" s="1"/>
  <c r="O3" i="11"/>
  <c r="O5" i="11"/>
  <c r="O3" i="9"/>
  <c r="O5" i="9"/>
  <c r="O4" i="5"/>
  <c r="U4" i="5" s="1"/>
  <c r="O4" i="17"/>
  <c r="O3" i="17"/>
  <c r="O5" i="14"/>
  <c r="O6" i="14"/>
  <c r="U6" i="14" s="1"/>
  <c r="O4" i="14"/>
  <c r="O3" i="14"/>
  <c r="O4" i="12"/>
  <c r="O6" i="12"/>
  <c r="O14" i="12"/>
  <c r="U14" i="12"/>
  <c r="O3" i="12"/>
  <c r="O5" i="10"/>
  <c r="O3" i="10"/>
  <c r="O6" i="10"/>
  <c r="O18" i="10"/>
  <c r="O4" i="10"/>
  <c r="O11" i="4"/>
  <c r="O10" i="4"/>
  <c r="O3" i="4"/>
  <c r="O8" i="4"/>
  <c r="O4" i="4"/>
  <c r="O9" i="4"/>
  <c r="U9" i="4"/>
  <c r="U8" i="4"/>
  <c r="U10" i="4"/>
  <c r="U11" i="4"/>
  <c r="O6" i="4"/>
  <c r="U6" i="4" s="1"/>
  <c r="O3" i="2"/>
  <c r="O4" i="2"/>
  <c r="O13" i="1"/>
  <c r="U13" i="1" s="1"/>
  <c r="O10" i="1"/>
  <c r="U10" i="1" s="1"/>
  <c r="O11" i="1"/>
  <c r="O6" i="1"/>
  <c r="O5" i="1"/>
  <c r="O3" i="1"/>
  <c r="O4" i="1"/>
  <c r="E3" i="2" l="1"/>
  <c r="D3" i="2"/>
  <c r="J3" i="9"/>
  <c r="N3" i="9" l="1"/>
  <c r="M3" i="9"/>
  <c r="N5" i="2"/>
  <c r="M5" i="2"/>
  <c r="N7" i="15"/>
  <c r="M7" i="15"/>
  <c r="N3" i="17"/>
  <c r="M3" i="17"/>
  <c r="N8" i="15"/>
  <c r="M8" i="15"/>
  <c r="U8" i="15" s="1"/>
  <c r="N3" i="15"/>
  <c r="M3" i="15"/>
  <c r="U5" i="19"/>
  <c r="N5" i="19"/>
  <c r="N3" i="19"/>
  <c r="M3" i="19"/>
  <c r="N14" i="14"/>
  <c r="N8" i="14"/>
  <c r="N4" i="14"/>
  <c r="M14" i="14"/>
  <c r="U14" i="14" s="1"/>
  <c r="M8" i="14"/>
  <c r="U8" i="14" s="1"/>
  <c r="M4" i="14"/>
  <c r="N3" i="14"/>
  <c r="M3" i="14"/>
  <c r="N5" i="10"/>
  <c r="M5" i="10"/>
  <c r="N3" i="10"/>
  <c r="M3" i="10"/>
  <c r="N8" i="1" l="1"/>
  <c r="N5" i="1"/>
  <c r="N3" i="1"/>
  <c r="M8" i="1"/>
  <c r="U8" i="1" s="1"/>
  <c r="M5" i="1"/>
  <c r="M4" i="1"/>
  <c r="M3" i="1"/>
  <c r="N4" i="1"/>
  <c r="N3" i="4"/>
  <c r="M3" i="4"/>
  <c r="U10" i="2" l="1"/>
  <c r="U12" i="2"/>
  <c r="L3" i="11"/>
  <c r="K3" i="11"/>
  <c r="U3" i="11" s="1"/>
  <c r="L4" i="9"/>
  <c r="L3" i="9"/>
  <c r="K4" i="9"/>
  <c r="K3" i="9"/>
  <c r="L5" i="17"/>
  <c r="L4" i="17"/>
  <c r="L3" i="17"/>
  <c r="K6" i="17"/>
  <c r="K5" i="17"/>
  <c r="K4" i="17"/>
  <c r="K3" i="17"/>
  <c r="L5" i="15"/>
  <c r="L3" i="15"/>
  <c r="K5" i="15"/>
  <c r="K10" i="15"/>
  <c r="U10" i="15" s="1"/>
  <c r="K3" i="15"/>
  <c r="L3" i="19"/>
  <c r="K3" i="19"/>
  <c r="L5" i="14"/>
  <c r="L3" i="14"/>
  <c r="U5" i="14"/>
  <c r="K5" i="14"/>
  <c r="K4" i="14"/>
  <c r="K3" i="14"/>
  <c r="L10" i="12"/>
  <c r="L4" i="12"/>
  <c r="L8" i="12"/>
  <c r="K12" i="12"/>
  <c r="U12" i="12" s="1"/>
  <c r="K6" i="12"/>
  <c r="U6" i="12" s="1"/>
  <c r="K10" i="12"/>
  <c r="U10" i="12" s="1"/>
  <c r="K4" i="12"/>
  <c r="K8" i="12"/>
  <c r="U8" i="12" s="1"/>
  <c r="L8" i="10"/>
  <c r="L15" i="10"/>
  <c r="L5" i="10"/>
  <c r="L6" i="10"/>
  <c r="L3" i="10"/>
  <c r="K15" i="10"/>
  <c r="K5" i="10"/>
  <c r="K6" i="10"/>
  <c r="K3" i="10"/>
  <c r="K7" i="10"/>
  <c r="L4" i="6"/>
  <c r="L3" i="4"/>
  <c r="L4" i="4"/>
  <c r="V9" i="6"/>
  <c r="V8" i="6"/>
  <c r="K8" i="6"/>
  <c r="K4" i="6"/>
  <c r="K3" i="6"/>
  <c r="K9" i="6"/>
  <c r="K5" i="6"/>
  <c r="K7" i="6"/>
  <c r="K3" i="4"/>
  <c r="K4" i="4"/>
  <c r="K7" i="4"/>
  <c r="K5" i="4"/>
  <c r="L3" i="2"/>
  <c r="K13" i="2"/>
  <c r="U13" i="2" s="1"/>
  <c r="K12" i="2"/>
  <c r="K8" i="2"/>
  <c r="U8" i="2" s="1"/>
  <c r="K10" i="2"/>
  <c r="K3" i="2"/>
  <c r="K9" i="2"/>
  <c r="U9" i="2" s="1"/>
  <c r="L6" i="1"/>
  <c r="L7" i="1"/>
  <c r="L3" i="1"/>
  <c r="L4" i="1"/>
  <c r="K6" i="1"/>
  <c r="K7" i="1"/>
  <c r="J5" i="10" l="1"/>
  <c r="I5" i="10"/>
  <c r="J3" i="14"/>
  <c r="J4" i="14"/>
  <c r="J11" i="14"/>
  <c r="J10" i="14"/>
  <c r="J3" i="4"/>
  <c r="J6" i="1"/>
  <c r="J5" i="17"/>
  <c r="J7" i="17"/>
  <c r="J4" i="17"/>
  <c r="J6" i="17"/>
  <c r="J3" i="17"/>
  <c r="J9" i="15"/>
  <c r="J3" i="19"/>
  <c r="J17" i="10"/>
  <c r="J10" i="10"/>
  <c r="J13" i="10"/>
  <c r="J7" i="10"/>
  <c r="J4" i="10"/>
  <c r="J6" i="10"/>
  <c r="J3" i="10"/>
  <c r="J7" i="4"/>
  <c r="J5" i="4"/>
  <c r="J4" i="4"/>
  <c r="J6" i="6"/>
  <c r="J5" i="6"/>
  <c r="J7" i="6"/>
  <c r="J7" i="1"/>
  <c r="J12" i="1"/>
  <c r="J9" i="1"/>
  <c r="J3" i="1"/>
  <c r="U10" i="14" l="1"/>
  <c r="U20" i="14"/>
  <c r="I9" i="14"/>
  <c r="I11" i="14"/>
  <c r="I3" i="14"/>
  <c r="J8" i="11" l="1"/>
  <c r="U8" i="11" s="1"/>
  <c r="J4" i="11"/>
  <c r="J6" i="11"/>
  <c r="I4" i="11"/>
  <c r="I6" i="11"/>
  <c r="H4" i="11"/>
  <c r="H6" i="11"/>
  <c r="U6" i="11" s="1"/>
  <c r="J8" i="9"/>
  <c r="J6" i="9"/>
  <c r="J4" i="9"/>
  <c r="J5" i="9"/>
  <c r="J9" i="9"/>
  <c r="I6" i="9"/>
  <c r="I4" i="9"/>
  <c r="I5" i="9"/>
  <c r="I9" i="9"/>
  <c r="I7" i="9"/>
  <c r="H8" i="9"/>
  <c r="H6" i="9"/>
  <c r="H4" i="9"/>
  <c r="H5" i="9"/>
  <c r="U5" i="9" s="1"/>
  <c r="H9" i="9"/>
  <c r="U9" i="9" s="1"/>
  <c r="H7" i="9"/>
  <c r="V7" i="6"/>
  <c r="J3" i="5"/>
  <c r="U3" i="5" s="1"/>
  <c r="I4" i="17"/>
  <c r="I6" i="17"/>
  <c r="I3" i="17"/>
  <c r="H4" i="17"/>
  <c r="H3" i="17"/>
  <c r="U3" i="17" s="1"/>
  <c r="H6" i="17"/>
  <c r="U6" i="17" s="1"/>
  <c r="U9" i="15"/>
  <c r="I3" i="19"/>
  <c r="H3" i="19"/>
  <c r="H12" i="14"/>
  <c r="H4" i="14"/>
  <c r="H9" i="14"/>
  <c r="H11" i="14"/>
  <c r="U11" i="14" s="1"/>
  <c r="H3" i="14"/>
  <c r="I16" i="10"/>
  <c r="I12" i="10"/>
  <c r="I10" i="10"/>
  <c r="I8" i="10"/>
  <c r="I13" i="10"/>
  <c r="I6" i="10"/>
  <c r="I3" i="10"/>
  <c r="I4" i="10"/>
  <c r="I7" i="10"/>
  <c r="I3" i="12"/>
  <c r="H3" i="12"/>
  <c r="H20" i="10"/>
  <c r="H12" i="10"/>
  <c r="H8" i="10"/>
  <c r="H19" i="10"/>
  <c r="H6" i="10"/>
  <c r="H3" i="10"/>
  <c r="H7" i="10"/>
  <c r="H4" i="10"/>
  <c r="U4" i="8"/>
  <c r="U7" i="8"/>
  <c r="J5" i="8"/>
  <c r="U5" i="8" s="1"/>
  <c r="J6" i="8"/>
  <c r="U6" i="8" s="1"/>
  <c r="J4" i="8"/>
  <c r="J3" i="8"/>
  <c r="I3" i="8"/>
  <c r="H3" i="8"/>
  <c r="U3" i="8" s="1"/>
  <c r="I3" i="6"/>
  <c r="I5" i="6"/>
  <c r="I6" i="6"/>
  <c r="H5" i="6"/>
  <c r="V5" i="6" s="1"/>
  <c r="H3" i="6"/>
  <c r="H6" i="6"/>
  <c r="V6" i="6" s="1"/>
  <c r="U5" i="4"/>
  <c r="U7" i="4"/>
  <c r="I3" i="4"/>
  <c r="I4" i="4"/>
  <c r="H3" i="4"/>
  <c r="H4" i="4"/>
  <c r="J7" i="2"/>
  <c r="J6" i="2"/>
  <c r="J3" i="2"/>
  <c r="I5" i="2"/>
  <c r="I6" i="2"/>
  <c r="I3" i="2"/>
  <c r="H5" i="2"/>
  <c r="H6" i="2"/>
  <c r="U6" i="2" s="1"/>
  <c r="H3" i="2"/>
  <c r="U12" i="1"/>
  <c r="U7" i="1"/>
  <c r="U6" i="1"/>
  <c r="I9" i="1"/>
  <c r="I3" i="1"/>
  <c r="H3" i="1"/>
  <c r="H9" i="1"/>
  <c r="U9" i="1" s="1"/>
  <c r="U5" i="17"/>
  <c r="U7" i="17"/>
  <c r="U4" i="17" l="1"/>
  <c r="G3" i="9"/>
  <c r="F4" i="9"/>
  <c r="F3" i="9"/>
  <c r="G3" i="2"/>
  <c r="F3" i="2"/>
  <c r="U3" i="2" s="1"/>
  <c r="G5" i="15"/>
  <c r="U5" i="15" s="1"/>
  <c r="G7" i="15"/>
  <c r="G3" i="15"/>
  <c r="F7" i="15"/>
  <c r="U7" i="15" s="1"/>
  <c r="F3" i="15"/>
  <c r="U3" i="15" s="1"/>
  <c r="G4" i="14"/>
  <c r="F19" i="14"/>
  <c r="U19" i="14" s="1"/>
  <c r="F4" i="14"/>
  <c r="D4" i="14" s="1"/>
  <c r="U4" i="14" s="1"/>
  <c r="G3" i="14"/>
  <c r="F3" i="14"/>
  <c r="U3" i="14" s="1"/>
  <c r="G3" i="12"/>
  <c r="F3" i="12"/>
  <c r="G8" i="10"/>
  <c r="G6" i="10"/>
  <c r="G5" i="10"/>
  <c r="G3" i="10"/>
  <c r="F5" i="10"/>
  <c r="F6" i="10"/>
  <c r="F3" i="10"/>
  <c r="G4" i="1"/>
  <c r="F5" i="1"/>
  <c r="F4" i="1"/>
  <c r="E3" i="22" l="1"/>
  <c r="U12" i="4"/>
  <c r="E3" i="13" l="1"/>
  <c r="D3" i="13"/>
  <c r="U3" i="13" s="1"/>
  <c r="U3" i="22"/>
  <c r="E4" i="11"/>
  <c r="E5" i="11"/>
  <c r="D4" i="11"/>
  <c r="D5" i="11"/>
  <c r="U4" i="11"/>
  <c r="U5" i="11"/>
  <c r="E8" i="9"/>
  <c r="U8" i="9" s="1"/>
  <c r="E4" i="9"/>
  <c r="E10" i="9"/>
  <c r="E7" i="9"/>
  <c r="D6" i="9"/>
  <c r="U6" i="9" s="1"/>
  <c r="D3" i="9"/>
  <c r="U3" i="9" s="1"/>
  <c r="D4" i="9"/>
  <c r="U4" i="9" s="1"/>
  <c r="D10" i="9"/>
  <c r="U10" i="9" s="1"/>
  <c r="D7" i="9"/>
  <c r="U7" i="9" s="1"/>
  <c r="E7" i="19"/>
  <c r="E4" i="19"/>
  <c r="E3" i="19"/>
  <c r="D6" i="19"/>
  <c r="D7" i="19"/>
  <c r="D4" i="19"/>
  <c r="U4" i="19" s="1"/>
  <c r="D3" i="19"/>
  <c r="U3" i="19" s="1"/>
  <c r="U7" i="19"/>
  <c r="E6" i="15"/>
  <c r="E4" i="15"/>
  <c r="U4" i="15" s="1"/>
  <c r="D4" i="15"/>
  <c r="D6" i="15"/>
  <c r="E17" i="14"/>
  <c r="E7" i="14"/>
  <c r="E13" i="14"/>
  <c r="E15" i="14"/>
  <c r="D9" i="14"/>
  <c r="D13" i="14"/>
  <c r="D7" i="14"/>
  <c r="D12" i="14"/>
  <c r="U15" i="14"/>
  <c r="U7" i="14"/>
  <c r="U13" i="14"/>
  <c r="E3" i="12"/>
  <c r="U3" i="12" s="1"/>
  <c r="E13" i="12"/>
  <c r="E5" i="12"/>
  <c r="E4" i="12"/>
  <c r="E9" i="12"/>
  <c r="D13" i="12"/>
  <c r="D5" i="12"/>
  <c r="D4" i="12"/>
  <c r="D9" i="12"/>
  <c r="U9" i="12" s="1"/>
  <c r="E7" i="12"/>
  <c r="D7" i="12"/>
  <c r="U7" i="12" s="1"/>
  <c r="E13" i="10"/>
  <c r="E12" i="10"/>
  <c r="E8" i="10"/>
  <c r="E6" i="10"/>
  <c r="E3" i="10"/>
  <c r="E5" i="10"/>
  <c r="E9" i="10"/>
  <c r="E4" i="10"/>
  <c r="E7" i="10"/>
  <c r="D8" i="10"/>
  <c r="D6" i="10"/>
  <c r="U6" i="10" s="1"/>
  <c r="D3" i="10"/>
  <c r="D5" i="10"/>
  <c r="U5" i="10" s="1"/>
  <c r="D9" i="10"/>
  <c r="D7" i="10"/>
  <c r="D4" i="10"/>
  <c r="U4" i="10" s="1"/>
  <c r="U3" i="10" l="1"/>
  <c r="U7" i="10"/>
  <c r="U8" i="10"/>
  <c r="U13" i="10"/>
  <c r="E3" i="4"/>
  <c r="E4" i="4"/>
  <c r="D3" i="4"/>
  <c r="U3" i="4" s="1"/>
  <c r="D4" i="4"/>
  <c r="U4" i="4" s="1"/>
  <c r="E5" i="2"/>
  <c r="E4" i="2"/>
  <c r="D7" i="2"/>
  <c r="U7" i="2" s="1"/>
  <c r="D5" i="2"/>
  <c r="U5" i="2" s="1"/>
  <c r="D4" i="2"/>
  <c r="U4" i="2" s="1"/>
  <c r="E11" i="1"/>
  <c r="E4" i="1"/>
  <c r="E5" i="1"/>
  <c r="E3" i="1"/>
  <c r="D4" i="1"/>
  <c r="D5" i="1"/>
  <c r="D3" i="1"/>
  <c r="U3" i="1" s="1"/>
  <c r="U4" i="1"/>
  <c r="U11" i="1"/>
  <c r="U5" i="1"/>
  <c r="U6" i="19"/>
  <c r="U6" i="15" l="1"/>
  <c r="U4" i="12"/>
  <c r="U13" i="12"/>
  <c r="U5" i="12"/>
  <c r="U19" i="10" l="1"/>
  <c r="U14" i="10" l="1"/>
  <c r="U20" i="10"/>
  <c r="U18" i="10"/>
  <c r="U12" i="14" l="1"/>
  <c r="U17" i="14"/>
  <c r="U11" i="10"/>
  <c r="U17" i="10" l="1"/>
  <c r="U9" i="14" l="1"/>
  <c r="U10" i="10" l="1"/>
  <c r="U9" i="10" l="1"/>
  <c r="U16" i="10"/>
  <c r="U15" i="10"/>
  <c r="U12" i="10" l="1"/>
</calcChain>
</file>

<file path=xl/sharedStrings.xml><?xml version="1.0" encoding="utf-8"?>
<sst xmlns="http://schemas.openxmlformats.org/spreadsheetml/2006/main" count="877" uniqueCount="187">
  <si>
    <t>hely</t>
  </si>
  <si>
    <t>név</t>
  </si>
  <si>
    <t>klub</t>
  </si>
  <si>
    <t>Össz pont</t>
  </si>
  <si>
    <t>1.</t>
  </si>
  <si>
    <t>MSE</t>
  </si>
  <si>
    <t>2.</t>
  </si>
  <si>
    <t>SAS</t>
  </si>
  <si>
    <t>3.</t>
  </si>
  <si>
    <t>Bedő Csaba</t>
  </si>
  <si>
    <t>BSC/VKE-Nelson</t>
  </si>
  <si>
    <t>4.</t>
  </si>
  <si>
    <t>"</t>
  </si>
  <si>
    <t>5.</t>
  </si>
  <si>
    <t>KFK</t>
  </si>
  <si>
    <t>6.</t>
  </si>
  <si>
    <t>Tamás Tibor</t>
  </si>
  <si>
    <t>7.</t>
  </si>
  <si>
    <t>8.</t>
  </si>
  <si>
    <t>9.</t>
  </si>
  <si>
    <t>10.</t>
  </si>
  <si>
    <t>11.</t>
  </si>
  <si>
    <t>Viraszkó Zoltán</t>
  </si>
  <si>
    <t>12.</t>
  </si>
  <si>
    <t>13.</t>
  </si>
  <si>
    <t>14.</t>
  </si>
  <si>
    <t>Kieső pontok</t>
  </si>
  <si>
    <t>" részt vett a versenyen de vagy hibapontos, vagy már negatív pontszáma van</t>
  </si>
  <si>
    <t>OSC</t>
  </si>
  <si>
    <t>SPA</t>
  </si>
  <si>
    <t>Benke Noémi</t>
  </si>
  <si>
    <t>Tamás Bianka</t>
  </si>
  <si>
    <t>Marosffy Orsolya</t>
  </si>
  <si>
    <t>Horváth Adrienn</t>
  </si>
  <si>
    <t>MAF</t>
  </si>
  <si>
    <t>Vajda Péter</t>
  </si>
  <si>
    <t>Kinde Kálmán</t>
  </si>
  <si>
    <t>Lindenberger Béla</t>
  </si>
  <si>
    <t>Hidas Zoltán</t>
  </si>
  <si>
    <t>TTE</t>
  </si>
  <si>
    <t>Molnár Attila</t>
  </si>
  <si>
    <t>Jankó Tamás</t>
  </si>
  <si>
    <t>HSE</t>
  </si>
  <si>
    <t>Hidas Sándor</t>
  </si>
  <si>
    <t>Hidas-Mészáros Eszter</t>
  </si>
  <si>
    <t>Rózsa László</t>
  </si>
  <si>
    <t>SMA</t>
  </si>
  <si>
    <t>Tömördi Ágnes</t>
  </si>
  <si>
    <t>Török Lavinia</t>
  </si>
  <si>
    <t>Beöthy Ádám</t>
  </si>
  <si>
    <t>Csordás Kornél</t>
  </si>
  <si>
    <t>REHAB</t>
  </si>
  <si>
    <t>Marosffy Dániel</t>
  </si>
  <si>
    <t>Szabó Csaba</t>
  </si>
  <si>
    <t>Kiss Zoltán</t>
  </si>
  <si>
    <t>Mörk Péter</t>
  </si>
  <si>
    <t>MAT</t>
  </si>
  <si>
    <t>Kinde Merse Márk</t>
  </si>
  <si>
    <t>Ember Ágoston</t>
  </si>
  <si>
    <t>VHS</t>
  </si>
  <si>
    <t>Mecsek Maraton</t>
  </si>
  <si>
    <t>Paulovits László</t>
  </si>
  <si>
    <t>Plájer Lajos</t>
  </si>
  <si>
    <t>Deseő László</t>
  </si>
  <si>
    <t>MOM</t>
  </si>
  <si>
    <t>Füzy Anna</t>
  </si>
  <si>
    <t>Dankó István</t>
  </si>
  <si>
    <t>Bardon-Kinde Vanda</t>
  </si>
  <si>
    <t>Tamás Bence</t>
  </si>
  <si>
    <t>15.</t>
  </si>
  <si>
    <t>16.</t>
  </si>
  <si>
    <t>17.</t>
  </si>
  <si>
    <t>18.</t>
  </si>
  <si>
    <t>Vajda Zsolt</t>
  </si>
  <si>
    <t>Balla Sarolta Boróka</t>
  </si>
  <si>
    <t>Vajda Kovács Ágnes</t>
  </si>
  <si>
    <t>Kármán Katalin</t>
  </si>
  <si>
    <t>Kárpáti Gábor</t>
  </si>
  <si>
    <t>Molnár Tibor</t>
  </si>
  <si>
    <t>Szabó Tamás</t>
  </si>
  <si>
    <t>Parádi Csaba</t>
  </si>
  <si>
    <t>Debnár Zsuzsanna</t>
  </si>
  <si>
    <t>Horváth Pál</t>
  </si>
  <si>
    <t>Balaton MTBO középtáv                  Csopak 04.14.</t>
  </si>
  <si>
    <t>Balaton MTBO középtáv                  Csopak 04.15.</t>
  </si>
  <si>
    <t>Magyar Kupa 2018</t>
  </si>
  <si>
    <t>Kézsmárki Ágnes</t>
  </si>
  <si>
    <t>DTC/ÖTK-Wien</t>
  </si>
  <si>
    <t>DTC/ ÖTK-Wien</t>
  </si>
  <si>
    <t>Máté Tamás</t>
  </si>
  <si>
    <t>VHS/ ÖTK-Wien</t>
  </si>
  <si>
    <t>Tibortelep SE</t>
  </si>
  <si>
    <t>TTE/ ÖTK-Wien</t>
  </si>
  <si>
    <t>CRK</t>
  </si>
  <si>
    <t>Papp Antal</t>
  </si>
  <si>
    <t>Bódy Kornél</t>
  </si>
  <si>
    <t>Köllőd Róbert</t>
  </si>
  <si>
    <t>HSE/ HSV Pinkafeld</t>
  </si>
  <si>
    <t>Kardos Ferenc dr.</t>
  </si>
  <si>
    <t>SMA/ ÖTK-Wien</t>
  </si>
  <si>
    <t>OSC/ ÖTK-Wien</t>
  </si>
  <si>
    <t>Papp Dominik</t>
  </si>
  <si>
    <t>Szlovák Bajnokság középtáv                  Limbach 05.12.</t>
  </si>
  <si>
    <t>Szlovák Bajnokság pontbegyűjtő                  Limbach 05.13.</t>
  </si>
  <si>
    <t>Filó György</t>
  </si>
  <si>
    <t>Mets Miklós</t>
  </si>
  <si>
    <t>HTC</t>
  </si>
  <si>
    <t>Bunyik László</t>
  </si>
  <si>
    <t>MEA</t>
  </si>
  <si>
    <t>Pannon MTBO középtáv                  Farkasgyepű 07.21.</t>
  </si>
  <si>
    <t>Pannon MTBO rövidtáv                  Farkasgyepű 07.21.</t>
  </si>
  <si>
    <t>Hosszútávú Országos Bajnokság                  Németbánya 07.22.</t>
  </si>
  <si>
    <t>Fekete Ágoston</t>
  </si>
  <si>
    <t>ZTC</t>
  </si>
  <si>
    <t>Holluby András</t>
  </si>
  <si>
    <t>PSE</t>
  </si>
  <si>
    <t>Bálint Ádám</t>
  </si>
  <si>
    <t>Bálint Gergő</t>
  </si>
  <si>
    <t>Izer Barnabás</t>
  </si>
  <si>
    <t>SZT</t>
  </si>
  <si>
    <t>Alpár Domonkos Márton</t>
  </si>
  <si>
    <t>Bálint Benedek</t>
  </si>
  <si>
    <t>Mesics Mátyás</t>
  </si>
  <si>
    <t>Mesics Botond Péter</t>
  </si>
  <si>
    <t>Morandini Kristóf Márk</t>
  </si>
  <si>
    <t>Szabó Gábor</t>
  </si>
  <si>
    <t>Bálint Bence</t>
  </si>
  <si>
    <t>Mesics Péter</t>
  </si>
  <si>
    <t>Balla Sándor</t>
  </si>
  <si>
    <t>Kardos Ferenc</t>
  </si>
  <si>
    <t>Boros Zoltán</t>
  </si>
  <si>
    <t>Kéri Gerzson Ferenc</t>
  </si>
  <si>
    <t>SZU</t>
  </si>
  <si>
    <t>Mérő Dominika</t>
  </si>
  <si>
    <t>Baumann Viola</t>
  </si>
  <si>
    <t>Erős Gabriella</t>
  </si>
  <si>
    <t>Szabó Erika</t>
  </si>
  <si>
    <t>Dosek Ágoston</t>
  </si>
  <si>
    <t>Rövidtávú Országos Bajnokság                  Balatonalmádi 09.01.</t>
  </si>
  <si>
    <t>Almádi MTBO Középtáv                  Balatonalmádi 09.02.</t>
  </si>
  <si>
    <t>Cseh Veronika</t>
  </si>
  <si>
    <t>Varsányi Kinga</t>
  </si>
  <si>
    <t>Kiss Johanna Eperke</t>
  </si>
  <si>
    <t>Molnár Botond</t>
  </si>
  <si>
    <t>Kiss Bertalan</t>
  </si>
  <si>
    <t>Berzsenyi Bence</t>
  </si>
  <si>
    <t>Korbély László</t>
  </si>
  <si>
    <t>Tömösközy Tamás</t>
  </si>
  <si>
    <t>Német Zsolt</t>
  </si>
  <si>
    <t>Korbély Tibor</t>
  </si>
  <si>
    <t>HER</t>
  </si>
  <si>
    <t>Lendvai Katalin</t>
  </si>
  <si>
    <t>Román Bajnokság rövidtáv                  Nagybánya 09.08.</t>
  </si>
  <si>
    <t>Román Bajnokság hosszútáv                  Nagybánya 09.09.</t>
  </si>
  <si>
    <t>Szász Botond</t>
  </si>
  <si>
    <t>Szász János</t>
  </si>
  <si>
    <t>Rancz László</t>
  </si>
  <si>
    <t>Horvay Zsolt</t>
  </si>
  <si>
    <t>Nagy Konrád</t>
  </si>
  <si>
    <t>Rendezői pontok</t>
  </si>
  <si>
    <t>Ostoros MTBO rövidtáv                  Ostoros 09.22.</t>
  </si>
  <si>
    <t>Ostoros MTBO Pontbegyűjtő OB                  Ostoros 09.23.</t>
  </si>
  <si>
    <t>Bárány Tamás</t>
  </si>
  <si>
    <t>Szundi Attila</t>
  </si>
  <si>
    <t>ESP</t>
  </si>
  <si>
    <t>DTC</t>
  </si>
  <si>
    <t>Hrotkó Mátyás</t>
  </si>
  <si>
    <t>Wachter András</t>
  </si>
  <si>
    <t>Szabó Mátyás</t>
  </si>
  <si>
    <t>Kapusztik Dániel</t>
  </si>
  <si>
    <t>Kapusztik Máté</t>
  </si>
  <si>
    <t>Kovács Zoltán</t>
  </si>
  <si>
    <t>Fodor Virág</t>
  </si>
  <si>
    <t>Várady Szilvia</t>
  </si>
  <si>
    <t>Varga Ildikó</t>
  </si>
  <si>
    <t>Lancsár Roland</t>
  </si>
  <si>
    <t>Abrán József</t>
  </si>
  <si>
    <t>GKS</t>
  </si>
  <si>
    <t>Szombati Csaba</t>
  </si>
  <si>
    <t>Honfi Gábor</t>
  </si>
  <si>
    <t>Tóbis Anita</t>
  </si>
  <si>
    <t>Szklenár Eszter</t>
  </si>
  <si>
    <t>Kiss Vivien</t>
  </si>
  <si>
    <t>Sopron MTBO Középtávú OB                  Sopron 10.06.</t>
  </si>
  <si>
    <t>Sopron MTBO Hosszútáv                  Sopron 10.06.</t>
  </si>
  <si>
    <t>Osztrák Bajnokság Középtáv                  Buchschachen 10.27.</t>
  </si>
  <si>
    <t>Osztrák Kupa Középtáv                  Buchschachen 10.28.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</si>
</sst>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2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4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textRotation="180" wrapText="1"/>
    </xf>
    <xf numFmtId="0" fontId="2" fillId="0" borderId="9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textRotation="180" wrapText="1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/>
    <xf numFmtId="0" fontId="0" fillId="0" borderId="13" xfId="0" applyFill="1" applyBorder="1"/>
    <xf numFmtId="2" fontId="0" fillId="0" borderId="14" xfId="0" applyNumberFormat="1" applyFill="1" applyBorder="1"/>
    <xf numFmtId="2" fontId="0" fillId="0" borderId="10" xfId="0" applyNumberFormat="1" applyFill="1" applyBorder="1"/>
    <xf numFmtId="2" fontId="0" fillId="0" borderId="15" xfId="0" applyNumberFormat="1" applyFill="1" applyBorder="1"/>
    <xf numFmtId="2" fontId="3" fillId="0" borderId="11" xfId="0" applyNumberFormat="1" applyFont="1" applyFill="1" applyBorder="1"/>
    <xf numFmtId="0" fontId="0" fillId="0" borderId="10" xfId="0" applyFill="1" applyBorder="1"/>
    <xf numFmtId="0" fontId="0" fillId="0" borderId="16" xfId="0" applyFill="1" applyBorder="1"/>
    <xf numFmtId="0" fontId="0" fillId="0" borderId="17" xfId="0" applyFill="1" applyBorder="1"/>
    <xf numFmtId="2" fontId="0" fillId="0" borderId="18" xfId="0" applyNumberFormat="1" applyFill="1" applyBorder="1"/>
    <xf numFmtId="2" fontId="0" fillId="0" borderId="20" xfId="0" applyNumberFormat="1" applyFill="1" applyBorder="1"/>
    <xf numFmtId="2" fontId="0" fillId="0" borderId="16" xfId="0" applyNumberFormat="1" applyFill="1" applyBorder="1"/>
    <xf numFmtId="2" fontId="5" fillId="0" borderId="10" xfId="0" applyNumberFormat="1" applyFont="1" applyFill="1" applyBorder="1"/>
    <xf numFmtId="2" fontId="0" fillId="0" borderId="22" xfId="0" applyNumberFormat="1" applyFill="1" applyBorder="1"/>
    <xf numFmtId="0" fontId="3" fillId="0" borderId="10" xfId="0" applyFont="1" applyFill="1" applyBorder="1" applyAlignment="1">
      <alignment horizontal="right"/>
    </xf>
    <xf numFmtId="0" fontId="5" fillId="0" borderId="10" xfId="0" applyFont="1" applyFill="1" applyBorder="1"/>
    <xf numFmtId="0" fontId="3" fillId="0" borderId="23" xfId="0" applyFont="1" applyFill="1" applyBorder="1"/>
    <xf numFmtId="0" fontId="0" fillId="0" borderId="24" xfId="0" applyFill="1" applyBorder="1"/>
    <xf numFmtId="2" fontId="0" fillId="0" borderId="26" xfId="0" applyNumberFormat="1" applyFill="1" applyBorder="1"/>
    <xf numFmtId="2" fontId="0" fillId="0" borderId="27" xfId="0" applyNumberFormat="1" applyFill="1" applyBorder="1"/>
    <xf numFmtId="2" fontId="3" fillId="0" borderId="23" xfId="0" applyNumberFormat="1" applyFont="1" applyFill="1" applyBorder="1"/>
    <xf numFmtId="2" fontId="0" fillId="0" borderId="0" xfId="0" applyNumberFormat="1" applyFill="1" applyBorder="1"/>
    <xf numFmtId="2" fontId="5" fillId="0" borderId="0" xfId="0" applyNumberFormat="1" applyFont="1" applyFill="1" applyBorder="1"/>
    <xf numFmtId="2" fontId="0" fillId="0" borderId="0" xfId="0" applyNumberForma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/>
    <xf numFmtId="0" fontId="0" fillId="0" borderId="14" xfId="0" applyFill="1" applyBorder="1"/>
    <xf numFmtId="0" fontId="0" fillId="0" borderId="18" xfId="0" applyFill="1" applyBorder="1"/>
    <xf numFmtId="0" fontId="0" fillId="0" borderId="26" xfId="0" applyFill="1" applyBorder="1"/>
    <xf numFmtId="2" fontId="5" fillId="0" borderId="0" xfId="0" applyNumberFormat="1" applyFont="1" applyFill="1" applyBorder="1" applyAlignment="1">
      <alignment horizontal="right"/>
    </xf>
    <xf numFmtId="0" fontId="0" fillId="0" borderId="28" xfId="0" applyFill="1" applyBorder="1"/>
    <xf numFmtId="0" fontId="1" fillId="0" borderId="0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/>
    </xf>
    <xf numFmtId="2" fontId="3" fillId="0" borderId="29" xfId="0" applyNumberFormat="1" applyFont="1" applyFill="1" applyBorder="1"/>
    <xf numFmtId="0" fontId="0" fillId="0" borderId="10" xfId="0" applyFill="1" applyBorder="1" applyAlignment="1">
      <alignment horizontal="center"/>
    </xf>
    <xf numFmtId="0" fontId="0" fillId="0" borderId="30" xfId="0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/>
    <xf numFmtId="0" fontId="3" fillId="0" borderId="32" xfId="0" applyFont="1" applyFill="1" applyBorder="1"/>
    <xf numFmtId="0" fontId="2" fillId="0" borderId="1" xfId="0" applyFont="1" applyFill="1" applyBorder="1" applyAlignment="1">
      <alignment vertical="center" wrapText="1"/>
    </xf>
    <xf numFmtId="0" fontId="3" fillId="0" borderId="19" xfId="0" applyFont="1" applyFill="1" applyBorder="1"/>
    <xf numFmtId="0" fontId="0" fillId="0" borderId="0" xfId="0" applyFont="1" applyFill="1" applyBorder="1"/>
    <xf numFmtId="2" fontId="0" fillId="0" borderId="12" xfId="0" applyNumberFormat="1" applyFill="1" applyBorder="1"/>
    <xf numFmtId="0" fontId="0" fillId="0" borderId="34" xfId="0" applyFill="1" applyBorder="1"/>
    <xf numFmtId="0" fontId="0" fillId="0" borderId="35" xfId="0" applyFill="1" applyBorder="1"/>
    <xf numFmtId="2" fontId="0" fillId="0" borderId="34" xfId="0" applyNumberFormat="1" applyFill="1" applyBorder="1"/>
    <xf numFmtId="2" fontId="0" fillId="0" borderId="36" xfId="0" applyNumberFormat="1" applyFill="1" applyBorder="1"/>
    <xf numFmtId="2" fontId="0" fillId="0" borderId="18" xfId="0" applyNumberFormat="1" applyFill="1" applyBorder="1" applyAlignment="1">
      <alignment horizontal="center"/>
    </xf>
    <xf numFmtId="2" fontId="5" fillId="0" borderId="18" xfId="0" applyNumberFormat="1" applyFont="1" applyFill="1" applyBorder="1"/>
    <xf numFmtId="0" fontId="0" fillId="0" borderId="27" xfId="0" applyFill="1" applyBorder="1"/>
    <xf numFmtId="2" fontId="0" fillId="0" borderId="10" xfId="0" applyNumberFormat="1" applyFill="1" applyBorder="1" applyAlignment="1">
      <alignment horizontal="center"/>
    </xf>
    <xf numFmtId="2" fontId="3" fillId="0" borderId="40" xfId="0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2" fontId="0" fillId="0" borderId="9" xfId="0" applyNumberFormat="1" applyFill="1" applyBorder="1"/>
    <xf numFmtId="0" fontId="0" fillId="0" borderId="9" xfId="0" applyFill="1" applyBorder="1"/>
    <xf numFmtId="2" fontId="3" fillId="0" borderId="5" xfId="0" applyNumberFormat="1" applyFont="1" applyFill="1" applyBorder="1"/>
    <xf numFmtId="0" fontId="0" fillId="0" borderId="22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3" fillId="0" borderId="43" xfId="0" applyFont="1" applyFill="1" applyBorder="1"/>
    <xf numFmtId="2" fontId="0" fillId="0" borderId="45" xfId="0" applyNumberFormat="1" applyFill="1" applyBorder="1"/>
    <xf numFmtId="2" fontId="0" fillId="0" borderId="13" xfId="0" applyNumberFormat="1" applyFill="1" applyBorder="1"/>
    <xf numFmtId="2" fontId="0" fillId="0" borderId="17" xfId="0" applyNumberFormat="1" applyFill="1" applyBorder="1"/>
    <xf numFmtId="2" fontId="0" fillId="0" borderId="25" xfId="0" applyNumberFormat="1" applyFill="1" applyBorder="1"/>
    <xf numFmtId="2" fontId="0" fillId="0" borderId="46" xfId="0" applyNumberFormat="1" applyFill="1" applyBorder="1"/>
    <xf numFmtId="2" fontId="4" fillId="0" borderId="10" xfId="0" applyNumberFormat="1" applyFont="1" applyFill="1" applyBorder="1"/>
    <xf numFmtId="2" fontId="5" fillId="0" borderId="22" xfId="0" applyNumberFormat="1" applyFont="1" applyFill="1" applyBorder="1"/>
    <xf numFmtId="0" fontId="3" fillId="0" borderId="27" xfId="0" applyFont="1" applyFill="1" applyBorder="1" applyAlignment="1">
      <alignment horizontal="right"/>
    </xf>
    <xf numFmtId="0" fontId="0" fillId="0" borderId="10" xfId="0" applyFont="1" applyFill="1" applyBorder="1"/>
    <xf numFmtId="0" fontId="3" fillId="0" borderId="5" xfId="0" applyFont="1" applyFill="1" applyBorder="1"/>
    <xf numFmtId="0" fontId="3" fillId="0" borderId="8" xfId="0" applyFont="1" applyFill="1" applyBorder="1" applyAlignment="1">
      <alignment horizontal="right"/>
    </xf>
    <xf numFmtId="0" fontId="0" fillId="0" borderId="19" xfId="0" applyFill="1" applyBorder="1"/>
    <xf numFmtId="2" fontId="0" fillId="0" borderId="19" xfId="0" applyNumberFormat="1" applyFill="1" applyBorder="1"/>
    <xf numFmtId="0" fontId="3" fillId="0" borderId="18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center" vertical="center" textRotation="180" wrapText="1"/>
    </xf>
    <xf numFmtId="0" fontId="0" fillId="0" borderId="16" xfId="0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0" fontId="0" fillId="0" borderId="14" xfId="0" applyFill="1" applyBorder="1" applyAlignment="1">
      <alignment horizontal="center"/>
    </xf>
    <xf numFmtId="2" fontId="0" fillId="0" borderId="49" xfId="0" applyNumberFormat="1" applyFill="1" applyBorder="1"/>
    <xf numFmtId="2" fontId="0" fillId="0" borderId="49" xfId="0" applyNumberFormat="1" applyFill="1" applyBorder="1" applyAlignment="1">
      <alignment horizontal="center"/>
    </xf>
    <xf numFmtId="2" fontId="0" fillId="0" borderId="50" xfId="0" applyNumberFormat="1" applyFill="1" applyBorder="1"/>
    <xf numFmtId="2" fontId="0" fillId="0" borderId="13" xfId="0" applyNumberFormat="1" applyFill="1" applyBorder="1" applyAlignment="1">
      <alignment horizontal="center"/>
    </xf>
    <xf numFmtId="2" fontId="0" fillId="0" borderId="41" xfId="0" applyNumberFormat="1" applyFont="1" applyFill="1" applyBorder="1"/>
    <xf numFmtId="2" fontId="0" fillId="0" borderId="18" xfId="0" applyNumberFormat="1" applyFill="1" applyBorder="1" applyAlignment="1">
      <alignment horizontal="right"/>
    </xf>
    <xf numFmtId="2" fontId="0" fillId="0" borderId="32" xfId="0" applyNumberFormat="1" applyFill="1" applyBorder="1"/>
    <xf numFmtId="2" fontId="0" fillId="0" borderId="51" xfId="0" applyNumberFormat="1" applyFill="1" applyBorder="1"/>
    <xf numFmtId="2" fontId="0" fillId="0" borderId="2" xfId="0" applyNumberFormat="1" applyFill="1" applyBorder="1"/>
    <xf numFmtId="0" fontId="0" fillId="0" borderId="49" xfId="0" applyFill="1" applyBorder="1"/>
    <xf numFmtId="0" fontId="3" fillId="0" borderId="4" xfId="0" applyFont="1" applyFill="1" applyBorder="1" applyAlignment="1">
      <alignment horizontal="right"/>
    </xf>
    <xf numFmtId="0" fontId="0" fillId="0" borderId="42" xfId="0" applyFill="1" applyBorder="1"/>
    <xf numFmtId="0" fontId="3" fillId="4" borderId="0" xfId="0" applyFont="1" applyFill="1" applyBorder="1" applyAlignment="1"/>
    <xf numFmtId="2" fontId="0" fillId="3" borderId="10" xfId="0" applyNumberFormat="1" applyFill="1" applyBorder="1"/>
    <xf numFmtId="0" fontId="6" fillId="0" borderId="52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horizontal="center" vertical="center" textRotation="180" wrapText="1"/>
    </xf>
    <xf numFmtId="0" fontId="6" fillId="0" borderId="31" xfId="0" applyFont="1" applyFill="1" applyBorder="1" applyAlignment="1">
      <alignment horizontal="center" vertical="center" textRotation="180" wrapText="1"/>
    </xf>
    <xf numFmtId="0" fontId="6" fillId="0" borderId="44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horizontal="center" vertical="center" textRotation="180" wrapText="1"/>
    </xf>
    <xf numFmtId="0" fontId="6" fillId="0" borderId="21" xfId="0" applyFont="1" applyFill="1" applyBorder="1" applyAlignment="1">
      <alignment horizontal="center" vertical="center" textRotation="180" wrapText="1"/>
    </xf>
    <xf numFmtId="0" fontId="6" fillId="0" borderId="25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7" fillId="0" borderId="33" xfId="0" applyFont="1" applyFill="1" applyBorder="1"/>
    <xf numFmtId="2" fontId="0" fillId="4" borderId="10" xfId="0" applyNumberFormat="1" applyFill="1" applyBorder="1"/>
    <xf numFmtId="2" fontId="0" fillId="4" borderId="10" xfId="0" applyNumberFormat="1" applyFill="1" applyBorder="1" applyAlignment="1">
      <alignment horizontal="right"/>
    </xf>
    <xf numFmtId="0" fontId="0" fillId="3" borderId="10" xfId="0" applyFill="1" applyBorder="1"/>
    <xf numFmtId="0" fontId="0" fillId="4" borderId="10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textRotation="180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2" fontId="3" fillId="0" borderId="1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zoomScaleNormal="100" workbookViewId="0">
      <selection activeCell="W3" sqref="W3"/>
    </sheetView>
  </sheetViews>
  <sheetFormatPr defaultColWidth="9" defaultRowHeight="15" x14ac:dyDescent="0.25"/>
  <cols>
    <col min="1" max="1" width="5.28515625" style="3" customWidth="1"/>
    <col min="2" max="2" width="18.140625" style="3" customWidth="1"/>
    <col min="3" max="3" width="17.85546875" style="3" customWidth="1"/>
    <col min="4" max="5" width="9.140625" style="3" customWidth="1"/>
    <col min="6" max="6" width="9.140625" style="41" customWidth="1"/>
    <col min="7" max="21" width="9.140625" style="3" customWidth="1"/>
    <col min="22" max="36" width="9" style="2"/>
    <col min="37" max="257" width="9" style="3"/>
    <col min="258" max="258" width="5.28515625" style="3" customWidth="1"/>
    <col min="259" max="259" width="21.5703125" style="3" customWidth="1"/>
    <col min="260" max="260" width="17.85546875" style="3" customWidth="1"/>
    <col min="261" max="277" width="9.140625" style="3" customWidth="1"/>
    <col min="278" max="513" width="9" style="3"/>
    <col min="514" max="514" width="5.28515625" style="3" customWidth="1"/>
    <col min="515" max="515" width="21.5703125" style="3" customWidth="1"/>
    <col min="516" max="516" width="17.85546875" style="3" customWidth="1"/>
    <col min="517" max="533" width="9.140625" style="3" customWidth="1"/>
    <col min="534" max="769" width="9" style="3"/>
    <col min="770" max="770" width="5.28515625" style="3" customWidth="1"/>
    <col min="771" max="771" width="21.5703125" style="3" customWidth="1"/>
    <col min="772" max="772" width="17.85546875" style="3" customWidth="1"/>
    <col min="773" max="789" width="9.140625" style="3" customWidth="1"/>
    <col min="790" max="1025" width="9" style="3"/>
    <col min="1026" max="1026" width="5.28515625" style="3" customWidth="1"/>
    <col min="1027" max="1027" width="21.5703125" style="3" customWidth="1"/>
    <col min="1028" max="1028" width="17.85546875" style="3" customWidth="1"/>
    <col min="1029" max="1045" width="9.140625" style="3" customWidth="1"/>
    <col min="1046" max="1281" width="9" style="3"/>
    <col min="1282" max="1282" width="5.28515625" style="3" customWidth="1"/>
    <col min="1283" max="1283" width="21.5703125" style="3" customWidth="1"/>
    <col min="1284" max="1284" width="17.85546875" style="3" customWidth="1"/>
    <col min="1285" max="1301" width="9.140625" style="3" customWidth="1"/>
    <col min="1302" max="1537" width="9" style="3"/>
    <col min="1538" max="1538" width="5.28515625" style="3" customWidth="1"/>
    <col min="1539" max="1539" width="21.5703125" style="3" customWidth="1"/>
    <col min="1540" max="1540" width="17.85546875" style="3" customWidth="1"/>
    <col min="1541" max="1557" width="9.140625" style="3" customWidth="1"/>
    <col min="1558" max="1793" width="9" style="3"/>
    <col min="1794" max="1794" width="5.28515625" style="3" customWidth="1"/>
    <col min="1795" max="1795" width="21.5703125" style="3" customWidth="1"/>
    <col min="1796" max="1796" width="17.85546875" style="3" customWidth="1"/>
    <col min="1797" max="1813" width="9.140625" style="3" customWidth="1"/>
    <col min="1814" max="2049" width="9" style="3"/>
    <col min="2050" max="2050" width="5.28515625" style="3" customWidth="1"/>
    <col min="2051" max="2051" width="21.5703125" style="3" customWidth="1"/>
    <col min="2052" max="2052" width="17.85546875" style="3" customWidth="1"/>
    <col min="2053" max="2069" width="9.140625" style="3" customWidth="1"/>
    <col min="2070" max="2305" width="9" style="3"/>
    <col min="2306" max="2306" width="5.28515625" style="3" customWidth="1"/>
    <col min="2307" max="2307" width="21.5703125" style="3" customWidth="1"/>
    <col min="2308" max="2308" width="17.85546875" style="3" customWidth="1"/>
    <col min="2309" max="2325" width="9.140625" style="3" customWidth="1"/>
    <col min="2326" max="2561" width="9" style="3"/>
    <col min="2562" max="2562" width="5.28515625" style="3" customWidth="1"/>
    <col min="2563" max="2563" width="21.5703125" style="3" customWidth="1"/>
    <col min="2564" max="2564" width="17.85546875" style="3" customWidth="1"/>
    <col min="2565" max="2581" width="9.140625" style="3" customWidth="1"/>
    <col min="2582" max="2817" width="9" style="3"/>
    <col min="2818" max="2818" width="5.28515625" style="3" customWidth="1"/>
    <col min="2819" max="2819" width="21.5703125" style="3" customWidth="1"/>
    <col min="2820" max="2820" width="17.85546875" style="3" customWidth="1"/>
    <col min="2821" max="2837" width="9.140625" style="3" customWidth="1"/>
    <col min="2838" max="3073" width="9" style="3"/>
    <col min="3074" max="3074" width="5.28515625" style="3" customWidth="1"/>
    <col min="3075" max="3075" width="21.5703125" style="3" customWidth="1"/>
    <col min="3076" max="3076" width="17.85546875" style="3" customWidth="1"/>
    <col min="3077" max="3093" width="9.140625" style="3" customWidth="1"/>
    <col min="3094" max="3329" width="9" style="3"/>
    <col min="3330" max="3330" width="5.28515625" style="3" customWidth="1"/>
    <col min="3331" max="3331" width="21.5703125" style="3" customWidth="1"/>
    <col min="3332" max="3332" width="17.85546875" style="3" customWidth="1"/>
    <col min="3333" max="3349" width="9.140625" style="3" customWidth="1"/>
    <col min="3350" max="3585" width="9" style="3"/>
    <col min="3586" max="3586" width="5.28515625" style="3" customWidth="1"/>
    <col min="3587" max="3587" width="21.5703125" style="3" customWidth="1"/>
    <col min="3588" max="3588" width="17.85546875" style="3" customWidth="1"/>
    <col min="3589" max="3605" width="9.140625" style="3" customWidth="1"/>
    <col min="3606" max="3841" width="9" style="3"/>
    <col min="3842" max="3842" width="5.28515625" style="3" customWidth="1"/>
    <col min="3843" max="3843" width="21.5703125" style="3" customWidth="1"/>
    <col min="3844" max="3844" width="17.85546875" style="3" customWidth="1"/>
    <col min="3845" max="3861" width="9.140625" style="3" customWidth="1"/>
    <col min="3862" max="4097" width="9" style="3"/>
    <col min="4098" max="4098" width="5.28515625" style="3" customWidth="1"/>
    <col min="4099" max="4099" width="21.5703125" style="3" customWidth="1"/>
    <col min="4100" max="4100" width="17.85546875" style="3" customWidth="1"/>
    <col min="4101" max="4117" width="9.140625" style="3" customWidth="1"/>
    <col min="4118" max="4353" width="9" style="3"/>
    <col min="4354" max="4354" width="5.28515625" style="3" customWidth="1"/>
    <col min="4355" max="4355" width="21.5703125" style="3" customWidth="1"/>
    <col min="4356" max="4356" width="17.85546875" style="3" customWidth="1"/>
    <col min="4357" max="4373" width="9.140625" style="3" customWidth="1"/>
    <col min="4374" max="4609" width="9" style="3"/>
    <col min="4610" max="4610" width="5.28515625" style="3" customWidth="1"/>
    <col min="4611" max="4611" width="21.5703125" style="3" customWidth="1"/>
    <col min="4612" max="4612" width="17.85546875" style="3" customWidth="1"/>
    <col min="4613" max="4629" width="9.140625" style="3" customWidth="1"/>
    <col min="4630" max="4865" width="9" style="3"/>
    <col min="4866" max="4866" width="5.28515625" style="3" customWidth="1"/>
    <col min="4867" max="4867" width="21.5703125" style="3" customWidth="1"/>
    <col min="4868" max="4868" width="17.85546875" style="3" customWidth="1"/>
    <col min="4869" max="4885" width="9.140625" style="3" customWidth="1"/>
    <col min="4886" max="5121" width="9" style="3"/>
    <col min="5122" max="5122" width="5.28515625" style="3" customWidth="1"/>
    <col min="5123" max="5123" width="21.5703125" style="3" customWidth="1"/>
    <col min="5124" max="5124" width="17.85546875" style="3" customWidth="1"/>
    <col min="5125" max="5141" width="9.140625" style="3" customWidth="1"/>
    <col min="5142" max="5377" width="9" style="3"/>
    <col min="5378" max="5378" width="5.28515625" style="3" customWidth="1"/>
    <col min="5379" max="5379" width="21.5703125" style="3" customWidth="1"/>
    <col min="5380" max="5380" width="17.85546875" style="3" customWidth="1"/>
    <col min="5381" max="5397" width="9.140625" style="3" customWidth="1"/>
    <col min="5398" max="5633" width="9" style="3"/>
    <col min="5634" max="5634" width="5.28515625" style="3" customWidth="1"/>
    <col min="5635" max="5635" width="21.5703125" style="3" customWidth="1"/>
    <col min="5636" max="5636" width="17.85546875" style="3" customWidth="1"/>
    <col min="5637" max="5653" width="9.140625" style="3" customWidth="1"/>
    <col min="5654" max="5889" width="9" style="3"/>
    <col min="5890" max="5890" width="5.28515625" style="3" customWidth="1"/>
    <col min="5891" max="5891" width="21.5703125" style="3" customWidth="1"/>
    <col min="5892" max="5892" width="17.85546875" style="3" customWidth="1"/>
    <col min="5893" max="5909" width="9.140625" style="3" customWidth="1"/>
    <col min="5910" max="6145" width="9" style="3"/>
    <col min="6146" max="6146" width="5.28515625" style="3" customWidth="1"/>
    <col min="6147" max="6147" width="21.5703125" style="3" customWidth="1"/>
    <col min="6148" max="6148" width="17.85546875" style="3" customWidth="1"/>
    <col min="6149" max="6165" width="9.140625" style="3" customWidth="1"/>
    <col min="6166" max="6401" width="9" style="3"/>
    <col min="6402" max="6402" width="5.28515625" style="3" customWidth="1"/>
    <col min="6403" max="6403" width="21.5703125" style="3" customWidth="1"/>
    <col min="6404" max="6404" width="17.85546875" style="3" customWidth="1"/>
    <col min="6405" max="6421" width="9.140625" style="3" customWidth="1"/>
    <col min="6422" max="6657" width="9" style="3"/>
    <col min="6658" max="6658" width="5.28515625" style="3" customWidth="1"/>
    <col min="6659" max="6659" width="21.5703125" style="3" customWidth="1"/>
    <col min="6660" max="6660" width="17.85546875" style="3" customWidth="1"/>
    <col min="6661" max="6677" width="9.140625" style="3" customWidth="1"/>
    <col min="6678" max="6913" width="9" style="3"/>
    <col min="6914" max="6914" width="5.28515625" style="3" customWidth="1"/>
    <col min="6915" max="6915" width="21.5703125" style="3" customWidth="1"/>
    <col min="6916" max="6916" width="17.85546875" style="3" customWidth="1"/>
    <col min="6917" max="6933" width="9.140625" style="3" customWidth="1"/>
    <col min="6934" max="7169" width="9" style="3"/>
    <col min="7170" max="7170" width="5.28515625" style="3" customWidth="1"/>
    <col min="7171" max="7171" width="21.5703125" style="3" customWidth="1"/>
    <col min="7172" max="7172" width="17.85546875" style="3" customWidth="1"/>
    <col min="7173" max="7189" width="9.140625" style="3" customWidth="1"/>
    <col min="7190" max="7425" width="9" style="3"/>
    <col min="7426" max="7426" width="5.28515625" style="3" customWidth="1"/>
    <col min="7427" max="7427" width="21.5703125" style="3" customWidth="1"/>
    <col min="7428" max="7428" width="17.85546875" style="3" customWidth="1"/>
    <col min="7429" max="7445" width="9.140625" style="3" customWidth="1"/>
    <col min="7446" max="7681" width="9" style="3"/>
    <col min="7682" max="7682" width="5.28515625" style="3" customWidth="1"/>
    <col min="7683" max="7683" width="21.5703125" style="3" customWidth="1"/>
    <col min="7684" max="7684" width="17.85546875" style="3" customWidth="1"/>
    <col min="7685" max="7701" width="9.140625" style="3" customWidth="1"/>
    <col min="7702" max="7937" width="9" style="3"/>
    <col min="7938" max="7938" width="5.28515625" style="3" customWidth="1"/>
    <col min="7939" max="7939" width="21.5703125" style="3" customWidth="1"/>
    <col min="7940" max="7940" width="17.85546875" style="3" customWidth="1"/>
    <col min="7941" max="7957" width="9.140625" style="3" customWidth="1"/>
    <col min="7958" max="8193" width="9" style="3"/>
    <col min="8194" max="8194" width="5.28515625" style="3" customWidth="1"/>
    <col min="8195" max="8195" width="21.5703125" style="3" customWidth="1"/>
    <col min="8196" max="8196" width="17.85546875" style="3" customWidth="1"/>
    <col min="8197" max="8213" width="9.140625" style="3" customWidth="1"/>
    <col min="8214" max="8449" width="9" style="3"/>
    <col min="8450" max="8450" width="5.28515625" style="3" customWidth="1"/>
    <col min="8451" max="8451" width="21.5703125" style="3" customWidth="1"/>
    <col min="8452" max="8452" width="17.85546875" style="3" customWidth="1"/>
    <col min="8453" max="8469" width="9.140625" style="3" customWidth="1"/>
    <col min="8470" max="8705" width="9" style="3"/>
    <col min="8706" max="8706" width="5.28515625" style="3" customWidth="1"/>
    <col min="8707" max="8707" width="21.5703125" style="3" customWidth="1"/>
    <col min="8708" max="8708" width="17.85546875" style="3" customWidth="1"/>
    <col min="8709" max="8725" width="9.140625" style="3" customWidth="1"/>
    <col min="8726" max="8961" width="9" style="3"/>
    <col min="8962" max="8962" width="5.28515625" style="3" customWidth="1"/>
    <col min="8963" max="8963" width="21.5703125" style="3" customWidth="1"/>
    <col min="8964" max="8964" width="17.85546875" style="3" customWidth="1"/>
    <col min="8965" max="8981" width="9.140625" style="3" customWidth="1"/>
    <col min="8982" max="9217" width="9" style="3"/>
    <col min="9218" max="9218" width="5.28515625" style="3" customWidth="1"/>
    <col min="9219" max="9219" width="21.5703125" style="3" customWidth="1"/>
    <col min="9220" max="9220" width="17.85546875" style="3" customWidth="1"/>
    <col min="9221" max="9237" width="9.140625" style="3" customWidth="1"/>
    <col min="9238" max="9473" width="9" style="3"/>
    <col min="9474" max="9474" width="5.28515625" style="3" customWidth="1"/>
    <col min="9475" max="9475" width="21.5703125" style="3" customWidth="1"/>
    <col min="9476" max="9476" width="17.85546875" style="3" customWidth="1"/>
    <col min="9477" max="9493" width="9.140625" style="3" customWidth="1"/>
    <col min="9494" max="9729" width="9" style="3"/>
    <col min="9730" max="9730" width="5.28515625" style="3" customWidth="1"/>
    <col min="9731" max="9731" width="21.5703125" style="3" customWidth="1"/>
    <col min="9732" max="9732" width="17.85546875" style="3" customWidth="1"/>
    <col min="9733" max="9749" width="9.140625" style="3" customWidth="1"/>
    <col min="9750" max="9985" width="9" style="3"/>
    <col min="9986" max="9986" width="5.28515625" style="3" customWidth="1"/>
    <col min="9987" max="9987" width="21.5703125" style="3" customWidth="1"/>
    <col min="9988" max="9988" width="17.85546875" style="3" customWidth="1"/>
    <col min="9989" max="10005" width="9.140625" style="3" customWidth="1"/>
    <col min="10006" max="10241" width="9" style="3"/>
    <col min="10242" max="10242" width="5.28515625" style="3" customWidth="1"/>
    <col min="10243" max="10243" width="21.5703125" style="3" customWidth="1"/>
    <col min="10244" max="10244" width="17.85546875" style="3" customWidth="1"/>
    <col min="10245" max="10261" width="9.140625" style="3" customWidth="1"/>
    <col min="10262" max="10497" width="9" style="3"/>
    <col min="10498" max="10498" width="5.28515625" style="3" customWidth="1"/>
    <col min="10499" max="10499" width="21.5703125" style="3" customWidth="1"/>
    <col min="10500" max="10500" width="17.85546875" style="3" customWidth="1"/>
    <col min="10501" max="10517" width="9.140625" style="3" customWidth="1"/>
    <col min="10518" max="10753" width="9" style="3"/>
    <col min="10754" max="10754" width="5.28515625" style="3" customWidth="1"/>
    <col min="10755" max="10755" width="21.5703125" style="3" customWidth="1"/>
    <col min="10756" max="10756" width="17.85546875" style="3" customWidth="1"/>
    <col min="10757" max="10773" width="9.140625" style="3" customWidth="1"/>
    <col min="10774" max="11009" width="9" style="3"/>
    <col min="11010" max="11010" width="5.28515625" style="3" customWidth="1"/>
    <col min="11011" max="11011" width="21.5703125" style="3" customWidth="1"/>
    <col min="11012" max="11012" width="17.85546875" style="3" customWidth="1"/>
    <col min="11013" max="11029" width="9.140625" style="3" customWidth="1"/>
    <col min="11030" max="11265" width="9" style="3"/>
    <col min="11266" max="11266" width="5.28515625" style="3" customWidth="1"/>
    <col min="11267" max="11267" width="21.5703125" style="3" customWidth="1"/>
    <col min="11268" max="11268" width="17.85546875" style="3" customWidth="1"/>
    <col min="11269" max="11285" width="9.140625" style="3" customWidth="1"/>
    <col min="11286" max="11521" width="9" style="3"/>
    <col min="11522" max="11522" width="5.28515625" style="3" customWidth="1"/>
    <col min="11523" max="11523" width="21.5703125" style="3" customWidth="1"/>
    <col min="11524" max="11524" width="17.85546875" style="3" customWidth="1"/>
    <col min="11525" max="11541" width="9.140625" style="3" customWidth="1"/>
    <col min="11542" max="11777" width="9" style="3"/>
    <col min="11778" max="11778" width="5.28515625" style="3" customWidth="1"/>
    <col min="11779" max="11779" width="21.5703125" style="3" customWidth="1"/>
    <col min="11780" max="11780" width="17.85546875" style="3" customWidth="1"/>
    <col min="11781" max="11797" width="9.140625" style="3" customWidth="1"/>
    <col min="11798" max="12033" width="9" style="3"/>
    <col min="12034" max="12034" width="5.28515625" style="3" customWidth="1"/>
    <col min="12035" max="12035" width="21.5703125" style="3" customWidth="1"/>
    <col min="12036" max="12036" width="17.85546875" style="3" customWidth="1"/>
    <col min="12037" max="12053" width="9.140625" style="3" customWidth="1"/>
    <col min="12054" max="12289" width="9" style="3"/>
    <col min="12290" max="12290" width="5.28515625" style="3" customWidth="1"/>
    <col min="12291" max="12291" width="21.5703125" style="3" customWidth="1"/>
    <col min="12292" max="12292" width="17.85546875" style="3" customWidth="1"/>
    <col min="12293" max="12309" width="9.140625" style="3" customWidth="1"/>
    <col min="12310" max="12545" width="9" style="3"/>
    <col min="12546" max="12546" width="5.28515625" style="3" customWidth="1"/>
    <col min="12547" max="12547" width="21.5703125" style="3" customWidth="1"/>
    <col min="12548" max="12548" width="17.85546875" style="3" customWidth="1"/>
    <col min="12549" max="12565" width="9.140625" style="3" customWidth="1"/>
    <col min="12566" max="12801" width="9" style="3"/>
    <col min="12802" max="12802" width="5.28515625" style="3" customWidth="1"/>
    <col min="12803" max="12803" width="21.5703125" style="3" customWidth="1"/>
    <col min="12804" max="12804" width="17.85546875" style="3" customWidth="1"/>
    <col min="12805" max="12821" width="9.140625" style="3" customWidth="1"/>
    <col min="12822" max="13057" width="9" style="3"/>
    <col min="13058" max="13058" width="5.28515625" style="3" customWidth="1"/>
    <col min="13059" max="13059" width="21.5703125" style="3" customWidth="1"/>
    <col min="13060" max="13060" width="17.85546875" style="3" customWidth="1"/>
    <col min="13061" max="13077" width="9.140625" style="3" customWidth="1"/>
    <col min="13078" max="13313" width="9" style="3"/>
    <col min="13314" max="13314" width="5.28515625" style="3" customWidth="1"/>
    <col min="13315" max="13315" width="21.5703125" style="3" customWidth="1"/>
    <col min="13316" max="13316" width="17.85546875" style="3" customWidth="1"/>
    <col min="13317" max="13333" width="9.140625" style="3" customWidth="1"/>
    <col min="13334" max="13569" width="9" style="3"/>
    <col min="13570" max="13570" width="5.28515625" style="3" customWidth="1"/>
    <col min="13571" max="13571" width="21.5703125" style="3" customWidth="1"/>
    <col min="13572" max="13572" width="17.85546875" style="3" customWidth="1"/>
    <col min="13573" max="13589" width="9.140625" style="3" customWidth="1"/>
    <col min="13590" max="13825" width="9" style="3"/>
    <col min="13826" max="13826" width="5.28515625" style="3" customWidth="1"/>
    <col min="13827" max="13827" width="21.5703125" style="3" customWidth="1"/>
    <col min="13828" max="13828" width="17.85546875" style="3" customWidth="1"/>
    <col min="13829" max="13845" width="9.140625" style="3" customWidth="1"/>
    <col min="13846" max="14081" width="9" style="3"/>
    <col min="14082" max="14082" width="5.28515625" style="3" customWidth="1"/>
    <col min="14083" max="14083" width="21.5703125" style="3" customWidth="1"/>
    <col min="14084" max="14084" width="17.85546875" style="3" customWidth="1"/>
    <col min="14085" max="14101" width="9.140625" style="3" customWidth="1"/>
    <col min="14102" max="14337" width="9" style="3"/>
    <col min="14338" max="14338" width="5.28515625" style="3" customWidth="1"/>
    <col min="14339" max="14339" width="21.5703125" style="3" customWidth="1"/>
    <col min="14340" max="14340" width="17.85546875" style="3" customWidth="1"/>
    <col min="14341" max="14357" width="9.140625" style="3" customWidth="1"/>
    <col min="14358" max="14593" width="9" style="3"/>
    <col min="14594" max="14594" width="5.28515625" style="3" customWidth="1"/>
    <col min="14595" max="14595" width="21.5703125" style="3" customWidth="1"/>
    <col min="14596" max="14596" width="17.85546875" style="3" customWidth="1"/>
    <col min="14597" max="14613" width="9.140625" style="3" customWidth="1"/>
    <col min="14614" max="14849" width="9" style="3"/>
    <col min="14850" max="14850" width="5.28515625" style="3" customWidth="1"/>
    <col min="14851" max="14851" width="21.5703125" style="3" customWidth="1"/>
    <col min="14852" max="14852" width="17.85546875" style="3" customWidth="1"/>
    <col min="14853" max="14869" width="9.140625" style="3" customWidth="1"/>
    <col min="14870" max="15105" width="9" style="3"/>
    <col min="15106" max="15106" width="5.28515625" style="3" customWidth="1"/>
    <col min="15107" max="15107" width="21.5703125" style="3" customWidth="1"/>
    <col min="15108" max="15108" width="17.85546875" style="3" customWidth="1"/>
    <col min="15109" max="15125" width="9.140625" style="3" customWidth="1"/>
    <col min="15126" max="15361" width="9" style="3"/>
    <col min="15362" max="15362" width="5.28515625" style="3" customWidth="1"/>
    <col min="15363" max="15363" width="21.5703125" style="3" customWidth="1"/>
    <col min="15364" max="15364" width="17.85546875" style="3" customWidth="1"/>
    <col min="15365" max="15381" width="9.140625" style="3" customWidth="1"/>
    <col min="15382" max="15617" width="9" style="3"/>
    <col min="15618" max="15618" width="5.28515625" style="3" customWidth="1"/>
    <col min="15619" max="15619" width="21.5703125" style="3" customWidth="1"/>
    <col min="15620" max="15620" width="17.85546875" style="3" customWidth="1"/>
    <col min="15621" max="15637" width="9.140625" style="3" customWidth="1"/>
    <col min="15638" max="15873" width="9" style="3"/>
    <col min="15874" max="15874" width="5.28515625" style="3" customWidth="1"/>
    <col min="15875" max="15875" width="21.5703125" style="3" customWidth="1"/>
    <col min="15876" max="15876" width="17.85546875" style="3" customWidth="1"/>
    <col min="15877" max="15893" width="9.140625" style="3" customWidth="1"/>
    <col min="15894" max="16129" width="9" style="3"/>
    <col min="16130" max="16130" width="5.28515625" style="3" customWidth="1"/>
    <col min="16131" max="16131" width="21.5703125" style="3" customWidth="1"/>
    <col min="16132" max="16132" width="17.85546875" style="3" customWidth="1"/>
    <col min="16133" max="16149" width="9.140625" style="3" customWidth="1"/>
    <col min="16150" max="16384" width="9" style="3"/>
  </cols>
  <sheetData>
    <row r="1" spans="1:36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47"/>
      <c r="W1" s="47"/>
    </row>
    <row r="2" spans="1:36" s="12" customFormat="1" ht="179.2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s="19" customFormat="1" x14ac:dyDescent="0.25">
      <c r="A3" s="133" t="s">
        <v>4</v>
      </c>
      <c r="B3" s="19" t="s">
        <v>45</v>
      </c>
      <c r="C3" s="19" t="s">
        <v>5</v>
      </c>
      <c r="D3" s="16">
        <f>100-(66.96-66.96)/66.96*50</f>
        <v>100</v>
      </c>
      <c r="E3" s="16">
        <f>100-(103.73-103.73)/103.73*50</f>
        <v>100</v>
      </c>
      <c r="F3" s="16"/>
      <c r="G3" s="16"/>
      <c r="H3" s="16">
        <f>100-(68.45-67.2)/67.2*50</f>
        <v>99.069940476190482</v>
      </c>
      <c r="I3" s="16">
        <f>100-(25.17-25.17)/25.17*50</f>
        <v>100</v>
      </c>
      <c r="J3" s="16">
        <f>100-(133.7-122.35)/122.35*50</f>
        <v>95.36166734777278</v>
      </c>
      <c r="K3" s="16"/>
      <c r="L3" s="16">
        <f>100-(69.6-69.55)/69.55*50</f>
        <v>99.964054636951829</v>
      </c>
      <c r="M3" s="16">
        <f>100-(21.32-21.32)/21.32*50</f>
        <v>100</v>
      </c>
      <c r="N3" s="107">
        <f>100-(83.25-75.8)/75.8*50</f>
        <v>95.085751978891821</v>
      </c>
      <c r="O3" s="16">
        <f>100-(30.52-29.2)/29.2*50</f>
        <v>97.739726027397253</v>
      </c>
      <c r="P3" s="16">
        <f>100-(77.48-77.48)/77.48*50</f>
        <v>100</v>
      </c>
      <c r="Q3" s="16"/>
      <c r="R3" s="16">
        <f>100-(98.23-98.23)/98.23*50</f>
        <v>100</v>
      </c>
      <c r="S3" s="16"/>
      <c r="T3" s="16"/>
      <c r="U3" s="134">
        <f>SUM(D3:T3)-N3</f>
        <v>992.13538848831251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19" customFormat="1" x14ac:dyDescent="0.25">
      <c r="A4" s="133" t="s">
        <v>6</v>
      </c>
      <c r="B4" s="19" t="s">
        <v>49</v>
      </c>
      <c r="C4" s="19" t="s">
        <v>14</v>
      </c>
      <c r="D4" s="16">
        <f>100-(71.5-66.96)/66.96*50</f>
        <v>96.609916367980873</v>
      </c>
      <c r="E4" s="16">
        <f>100-(109.1-103.73)/103.73*50</f>
        <v>97.411549214306376</v>
      </c>
      <c r="F4" s="16">
        <f>100-(52.63-52.63)/52.63*50</f>
        <v>100</v>
      </c>
      <c r="G4" s="16">
        <f>100-(91.03-91.03)/91.03*50</f>
        <v>100</v>
      </c>
      <c r="H4" s="16"/>
      <c r="I4" s="16"/>
      <c r="J4" s="16"/>
      <c r="K4" s="16"/>
      <c r="L4" s="16">
        <f>100-(69.55-69.55)/69.55*50</f>
        <v>100</v>
      </c>
      <c r="M4" s="16">
        <f>100-(21.47-21.32)/21.32*50</f>
        <v>99.648217636022522</v>
      </c>
      <c r="N4" s="16">
        <f>100-(75.8-75.8)/75.8*50</f>
        <v>100</v>
      </c>
      <c r="O4" s="16">
        <f>100-(29.2-29.2)/29.2*50</f>
        <v>100</v>
      </c>
      <c r="P4" s="16"/>
      <c r="Q4" s="16"/>
      <c r="R4" s="16">
        <f>100-(105.43-98.23)/98.23*50</f>
        <v>96.335131833452095</v>
      </c>
      <c r="S4" s="16"/>
      <c r="T4" s="16"/>
      <c r="U4" s="134">
        <f t="shared" ref="U4:U13" si="0">SUM(D4:T4)</f>
        <v>890.00481505176185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s="19" customFormat="1" x14ac:dyDescent="0.25">
      <c r="A5" s="133" t="s">
        <v>8</v>
      </c>
      <c r="B5" s="19" t="s">
        <v>9</v>
      </c>
      <c r="C5" s="19" t="s">
        <v>10</v>
      </c>
      <c r="D5" s="16">
        <f>100-(70.17-66.96)/66.96*50</f>
        <v>97.603046594982075</v>
      </c>
      <c r="E5" s="16">
        <f>100-(109.37-103.73)/103.73*50</f>
        <v>97.281403644075965</v>
      </c>
      <c r="F5" s="16">
        <f>100-(54.98-52.63)/52.63*50</f>
        <v>97.767433022990701</v>
      </c>
      <c r="G5" s="66" t="s">
        <v>12</v>
      </c>
      <c r="H5" s="66"/>
      <c r="I5" s="66" t="s">
        <v>12</v>
      </c>
      <c r="J5" s="66" t="s">
        <v>12</v>
      </c>
      <c r="K5" s="66"/>
      <c r="L5" s="66"/>
      <c r="M5" s="16">
        <f>100-(23.5-21.32)/21.32*50</f>
        <v>94.887429643527213</v>
      </c>
      <c r="N5" s="16">
        <f>100-(89.57-75.8)/75.8*50</f>
        <v>90.916886543535625</v>
      </c>
      <c r="O5" s="16">
        <f>100-(31.57-29.2)/29.2*50</f>
        <v>95.941780821917803</v>
      </c>
      <c r="P5" s="16"/>
      <c r="Q5" s="16">
        <f>100-(68.08-68.08)/68.08*50</f>
        <v>100</v>
      </c>
      <c r="R5" s="16">
        <f>100-(102.43-98.23)/98.23*50</f>
        <v>97.862160236180387</v>
      </c>
      <c r="S5" s="16"/>
      <c r="T5" s="16"/>
      <c r="U5" s="134">
        <f t="shared" si="0"/>
        <v>772.26014050720983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s="19" customFormat="1" x14ac:dyDescent="0.25">
      <c r="A6" s="133" t="s">
        <v>11</v>
      </c>
      <c r="B6" s="19" t="s">
        <v>16</v>
      </c>
      <c r="C6" s="19" t="s">
        <v>88</v>
      </c>
      <c r="D6" s="16"/>
      <c r="E6" s="16"/>
      <c r="F6" s="28"/>
      <c r="J6" s="16">
        <f>100-(167.9-122.35)/122.35*50</f>
        <v>81.385369840621166</v>
      </c>
      <c r="K6" s="16">
        <f>100-(45.15-40.3)/40.3*50</f>
        <v>93.982630272952846</v>
      </c>
      <c r="L6" s="16">
        <f>100-(76.63-69.55)/69.55*50</f>
        <v>94.910136592379587</v>
      </c>
      <c r="M6" s="16"/>
      <c r="O6" s="16">
        <f>100-(33.08-29.2)/29.2*50</f>
        <v>93.356164383561648</v>
      </c>
      <c r="P6" s="16">
        <f>100-(81.47-77.48)/77.48*50</f>
        <v>97.425141972121835</v>
      </c>
      <c r="Q6" s="16">
        <f>100-(74.63-68.08)/68.08*50</f>
        <v>95.189482961222097</v>
      </c>
      <c r="R6" s="16">
        <f>100-(114.23-98.23)/98.23*50</f>
        <v>91.855848518782452</v>
      </c>
      <c r="U6" s="134">
        <f t="shared" si="0"/>
        <v>648.10477454164152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19" customFormat="1" x14ac:dyDescent="0.25">
      <c r="A7" s="133" t="s">
        <v>13</v>
      </c>
      <c r="B7" s="19" t="s">
        <v>22</v>
      </c>
      <c r="C7" s="19" t="s">
        <v>88</v>
      </c>
      <c r="D7" s="50"/>
      <c r="E7" s="16"/>
      <c r="F7" s="16"/>
      <c r="G7" s="16"/>
      <c r="H7" s="16"/>
      <c r="I7" s="16"/>
      <c r="J7" s="16">
        <f>100-(138.4-122.35)/122.35*50</f>
        <v>93.440948099713935</v>
      </c>
      <c r="K7" s="16">
        <f>100-(40.3-40.3)/40.3*50</f>
        <v>100</v>
      </c>
      <c r="L7" s="16">
        <f>100-(74.12-69.55)/69.55*50</f>
        <v>96.714593817397557</v>
      </c>
      <c r="M7" s="16"/>
      <c r="O7" s="16"/>
      <c r="P7" s="16">
        <f>100-(89.07-77.48)/77.48*50</f>
        <v>92.520650490449157</v>
      </c>
      <c r="Q7" s="16"/>
      <c r="R7" s="16"/>
      <c r="U7" s="134">
        <f t="shared" si="0"/>
        <v>382.67619240756062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s="19" customFormat="1" x14ac:dyDescent="0.25">
      <c r="A8" s="133" t="s">
        <v>15</v>
      </c>
      <c r="B8" s="19" t="s">
        <v>154</v>
      </c>
      <c r="C8" s="19" t="s">
        <v>7</v>
      </c>
      <c r="D8" s="16"/>
      <c r="E8" s="16"/>
      <c r="F8" s="25"/>
      <c r="G8" s="16"/>
      <c r="H8" s="16"/>
      <c r="I8" s="16"/>
      <c r="J8" s="66"/>
      <c r="K8" s="16"/>
      <c r="L8" s="16"/>
      <c r="M8" s="16">
        <f>100-(25-21.32)/21.32*50</f>
        <v>91.369606003752352</v>
      </c>
      <c r="N8" s="16">
        <f>100-(97.32-75.8)/75.8*50</f>
        <v>85.804749340369398</v>
      </c>
      <c r="O8" s="16"/>
      <c r="P8" s="16"/>
      <c r="Q8" s="16">
        <f>100-(71.48-68.08)/68.08*50</f>
        <v>97.502937720329015</v>
      </c>
      <c r="R8" s="16">
        <f>100-(109.2-98.23)/98.23*50</f>
        <v>94.416166140690223</v>
      </c>
      <c r="S8" s="16"/>
      <c r="T8" s="16"/>
      <c r="U8" s="134">
        <f t="shared" si="0"/>
        <v>369.09345920514096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19" customFormat="1" x14ac:dyDescent="0.25">
      <c r="A9" s="133" t="s">
        <v>17</v>
      </c>
      <c r="B9" s="19" t="s">
        <v>112</v>
      </c>
      <c r="C9" s="19" t="s">
        <v>113</v>
      </c>
      <c r="D9" s="16"/>
      <c r="E9" s="16"/>
      <c r="F9" s="25"/>
      <c r="G9" s="16"/>
      <c r="H9" s="16">
        <f>100-(67.2-67.2)/67.2*50</f>
        <v>100</v>
      </c>
      <c r="I9" s="16">
        <f>100-(25.4-25.17)/25.17*50</f>
        <v>99.54310687326182</v>
      </c>
      <c r="J9" s="16">
        <f>100-(122.35-122.35)/122.35*50</f>
        <v>100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34">
        <f t="shared" si="0"/>
        <v>299.54310687326182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s="19" customFormat="1" x14ac:dyDescent="0.25">
      <c r="A10" s="133" t="s">
        <v>18</v>
      </c>
      <c r="B10" s="19" t="s">
        <v>162</v>
      </c>
      <c r="C10" s="19" t="s">
        <v>164</v>
      </c>
      <c r="D10" s="16"/>
      <c r="E10" s="16"/>
      <c r="F10" s="25"/>
      <c r="G10" s="16"/>
      <c r="H10" s="16"/>
      <c r="I10" s="16"/>
      <c r="J10" s="16"/>
      <c r="K10" s="16"/>
      <c r="L10" s="16"/>
      <c r="M10" s="16"/>
      <c r="N10" s="25"/>
      <c r="O10" s="16">
        <f>100-(37.27-29.2)/29.2*50</f>
        <v>86.181506849315056</v>
      </c>
      <c r="P10" s="16">
        <f>100-(99.73-77.48)/77.48*50</f>
        <v>85.641455859576666</v>
      </c>
      <c r="Q10" s="16"/>
      <c r="R10" s="25"/>
      <c r="S10" s="25"/>
      <c r="T10" s="25"/>
      <c r="U10" s="134">
        <f t="shared" si="0"/>
        <v>171.82296270889174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s="19" customFormat="1" x14ac:dyDescent="0.25">
      <c r="A11" s="133" t="s">
        <v>19</v>
      </c>
      <c r="B11" s="19" t="s">
        <v>73</v>
      </c>
      <c r="C11" s="19" t="s">
        <v>59</v>
      </c>
      <c r="D11" s="16"/>
      <c r="E11" s="16">
        <f>100-(122.25-103.73)/103.73*50</f>
        <v>91.072977923455127</v>
      </c>
      <c r="F11" s="16"/>
      <c r="G11" s="16"/>
      <c r="H11" s="16"/>
      <c r="I11" s="16"/>
      <c r="J11" s="16"/>
      <c r="K11" s="16"/>
      <c r="L11" s="16"/>
      <c r="M11" s="16"/>
      <c r="N11" s="16"/>
      <c r="O11" s="16">
        <f>100-(55.6-29.2)/29.2*50</f>
        <v>54.794520547945204</v>
      </c>
      <c r="P11" s="16"/>
      <c r="Q11" s="16"/>
      <c r="R11" s="81"/>
      <c r="S11" s="16"/>
      <c r="T11" s="66"/>
      <c r="U11" s="134">
        <f t="shared" si="0"/>
        <v>145.86749847140032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s="19" customFormat="1" x14ac:dyDescent="0.25">
      <c r="A12" s="133" t="s">
        <v>20</v>
      </c>
      <c r="B12" s="19" t="s">
        <v>114</v>
      </c>
      <c r="C12" s="19" t="s">
        <v>115</v>
      </c>
      <c r="D12" s="16"/>
      <c r="E12" s="16"/>
      <c r="F12" s="16"/>
      <c r="G12" s="16"/>
      <c r="H12" s="16"/>
      <c r="I12" s="16"/>
      <c r="J12" s="16">
        <f>100-(129.03-122.35)/122.35*50</f>
        <v>97.270126685737637</v>
      </c>
      <c r="K12" s="16"/>
      <c r="L12" s="16"/>
      <c r="M12" s="16"/>
      <c r="N12" s="16"/>
      <c r="O12" s="16"/>
      <c r="P12" s="50"/>
      <c r="Q12" s="50"/>
      <c r="R12" s="16"/>
      <c r="S12" s="16"/>
      <c r="T12" s="16"/>
      <c r="U12" s="134">
        <f t="shared" si="0"/>
        <v>97.270126685737637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s="19" customFormat="1" x14ac:dyDescent="0.25">
      <c r="A13" s="133" t="s">
        <v>21</v>
      </c>
      <c r="B13" s="19" t="s">
        <v>163</v>
      </c>
      <c r="C13" s="19" t="s">
        <v>165</v>
      </c>
      <c r="D13" s="16"/>
      <c r="E13" s="16"/>
      <c r="F13" s="25"/>
      <c r="G13" s="16"/>
      <c r="H13" s="27"/>
      <c r="I13" s="16"/>
      <c r="J13" s="16"/>
      <c r="K13" s="16"/>
      <c r="L13" s="16"/>
      <c r="M13" s="16"/>
      <c r="N13" s="16"/>
      <c r="O13" s="16">
        <f>100-(33.8-29.2)/29.2*50</f>
        <v>92.123287671232873</v>
      </c>
      <c r="P13" s="66" t="s">
        <v>12</v>
      </c>
      <c r="Q13" s="16"/>
      <c r="R13" s="16"/>
      <c r="S13" s="16"/>
      <c r="T13" s="16"/>
      <c r="U13" s="134">
        <f t="shared" si="0"/>
        <v>92.123287671232873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25">
      <c r="A14" s="2"/>
      <c r="B14" s="2"/>
      <c r="C14" s="2"/>
      <c r="D14" s="34"/>
      <c r="E14" s="34"/>
      <c r="F14" s="35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36" s="39" customFormat="1" x14ac:dyDescent="0.25">
      <c r="A15" s="39" t="s">
        <v>26</v>
      </c>
    </row>
    <row r="16" spans="1:36" s="40" customFormat="1" x14ac:dyDescent="0.25">
      <c r="A16" s="40" t="s">
        <v>27</v>
      </c>
    </row>
  </sheetData>
  <sortState ref="B3:V13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zoomScaleNormal="100" workbookViewId="0">
      <selection activeCell="G9" sqref="G9"/>
    </sheetView>
  </sheetViews>
  <sheetFormatPr defaultColWidth="9" defaultRowHeight="15" x14ac:dyDescent="0.25"/>
  <cols>
    <col min="1" max="1" width="5.140625" style="3" customWidth="1"/>
    <col min="2" max="2" width="22.42578125" style="3" customWidth="1"/>
    <col min="3" max="3" width="15.5703125" style="3" customWidth="1"/>
    <col min="4" max="5" width="9.140625" style="3" customWidth="1"/>
    <col min="6" max="6" width="9.140625" style="41" customWidth="1"/>
    <col min="7" max="21" width="9.140625" style="3" customWidth="1"/>
    <col min="22" max="31" width="9" style="2"/>
    <col min="32" max="257" width="9" style="3"/>
    <col min="258" max="258" width="5.140625" style="3" customWidth="1"/>
    <col min="259" max="259" width="19.85546875" style="3" customWidth="1"/>
    <col min="260" max="260" width="11.85546875" style="3" customWidth="1"/>
    <col min="261" max="277" width="9.140625" style="3" customWidth="1"/>
    <col min="278" max="513" width="9" style="3"/>
    <col min="514" max="514" width="5.140625" style="3" customWidth="1"/>
    <col min="515" max="515" width="19.85546875" style="3" customWidth="1"/>
    <col min="516" max="516" width="11.85546875" style="3" customWidth="1"/>
    <col min="517" max="533" width="9.140625" style="3" customWidth="1"/>
    <col min="534" max="769" width="9" style="3"/>
    <col min="770" max="770" width="5.140625" style="3" customWidth="1"/>
    <col min="771" max="771" width="19.85546875" style="3" customWidth="1"/>
    <col min="772" max="772" width="11.85546875" style="3" customWidth="1"/>
    <col min="773" max="789" width="9.140625" style="3" customWidth="1"/>
    <col min="790" max="1025" width="9" style="3"/>
    <col min="1026" max="1026" width="5.140625" style="3" customWidth="1"/>
    <col min="1027" max="1027" width="19.85546875" style="3" customWidth="1"/>
    <col min="1028" max="1028" width="11.85546875" style="3" customWidth="1"/>
    <col min="1029" max="1045" width="9.140625" style="3" customWidth="1"/>
    <col min="1046" max="1281" width="9" style="3"/>
    <col min="1282" max="1282" width="5.140625" style="3" customWidth="1"/>
    <col min="1283" max="1283" width="19.85546875" style="3" customWidth="1"/>
    <col min="1284" max="1284" width="11.85546875" style="3" customWidth="1"/>
    <col min="1285" max="1301" width="9.140625" style="3" customWidth="1"/>
    <col min="1302" max="1537" width="9" style="3"/>
    <col min="1538" max="1538" width="5.140625" style="3" customWidth="1"/>
    <col min="1539" max="1539" width="19.85546875" style="3" customWidth="1"/>
    <col min="1540" max="1540" width="11.85546875" style="3" customWidth="1"/>
    <col min="1541" max="1557" width="9.140625" style="3" customWidth="1"/>
    <col min="1558" max="1793" width="9" style="3"/>
    <col min="1794" max="1794" width="5.140625" style="3" customWidth="1"/>
    <col min="1795" max="1795" width="19.85546875" style="3" customWidth="1"/>
    <col min="1796" max="1796" width="11.85546875" style="3" customWidth="1"/>
    <col min="1797" max="1813" width="9.140625" style="3" customWidth="1"/>
    <col min="1814" max="2049" width="9" style="3"/>
    <col min="2050" max="2050" width="5.140625" style="3" customWidth="1"/>
    <col min="2051" max="2051" width="19.85546875" style="3" customWidth="1"/>
    <col min="2052" max="2052" width="11.85546875" style="3" customWidth="1"/>
    <col min="2053" max="2069" width="9.140625" style="3" customWidth="1"/>
    <col min="2070" max="2305" width="9" style="3"/>
    <col min="2306" max="2306" width="5.140625" style="3" customWidth="1"/>
    <col min="2307" max="2307" width="19.85546875" style="3" customWidth="1"/>
    <col min="2308" max="2308" width="11.85546875" style="3" customWidth="1"/>
    <col min="2309" max="2325" width="9.140625" style="3" customWidth="1"/>
    <col min="2326" max="2561" width="9" style="3"/>
    <col min="2562" max="2562" width="5.140625" style="3" customWidth="1"/>
    <col min="2563" max="2563" width="19.85546875" style="3" customWidth="1"/>
    <col min="2564" max="2564" width="11.85546875" style="3" customWidth="1"/>
    <col min="2565" max="2581" width="9.140625" style="3" customWidth="1"/>
    <col min="2582" max="2817" width="9" style="3"/>
    <col min="2818" max="2818" width="5.140625" style="3" customWidth="1"/>
    <col min="2819" max="2819" width="19.85546875" style="3" customWidth="1"/>
    <col min="2820" max="2820" width="11.85546875" style="3" customWidth="1"/>
    <col min="2821" max="2837" width="9.140625" style="3" customWidth="1"/>
    <col min="2838" max="3073" width="9" style="3"/>
    <col min="3074" max="3074" width="5.140625" style="3" customWidth="1"/>
    <col min="3075" max="3075" width="19.85546875" style="3" customWidth="1"/>
    <col min="3076" max="3076" width="11.85546875" style="3" customWidth="1"/>
    <col min="3077" max="3093" width="9.140625" style="3" customWidth="1"/>
    <col min="3094" max="3329" width="9" style="3"/>
    <col min="3330" max="3330" width="5.140625" style="3" customWidth="1"/>
    <col min="3331" max="3331" width="19.85546875" style="3" customWidth="1"/>
    <col min="3332" max="3332" width="11.85546875" style="3" customWidth="1"/>
    <col min="3333" max="3349" width="9.140625" style="3" customWidth="1"/>
    <col min="3350" max="3585" width="9" style="3"/>
    <col min="3586" max="3586" width="5.140625" style="3" customWidth="1"/>
    <col min="3587" max="3587" width="19.85546875" style="3" customWidth="1"/>
    <col min="3588" max="3588" width="11.85546875" style="3" customWidth="1"/>
    <col min="3589" max="3605" width="9.140625" style="3" customWidth="1"/>
    <col min="3606" max="3841" width="9" style="3"/>
    <col min="3842" max="3842" width="5.140625" style="3" customWidth="1"/>
    <col min="3843" max="3843" width="19.85546875" style="3" customWidth="1"/>
    <col min="3844" max="3844" width="11.85546875" style="3" customWidth="1"/>
    <col min="3845" max="3861" width="9.140625" style="3" customWidth="1"/>
    <col min="3862" max="4097" width="9" style="3"/>
    <col min="4098" max="4098" width="5.140625" style="3" customWidth="1"/>
    <col min="4099" max="4099" width="19.85546875" style="3" customWidth="1"/>
    <col min="4100" max="4100" width="11.85546875" style="3" customWidth="1"/>
    <col min="4101" max="4117" width="9.140625" style="3" customWidth="1"/>
    <col min="4118" max="4353" width="9" style="3"/>
    <col min="4354" max="4354" width="5.140625" style="3" customWidth="1"/>
    <col min="4355" max="4355" width="19.85546875" style="3" customWidth="1"/>
    <col min="4356" max="4356" width="11.85546875" style="3" customWidth="1"/>
    <col min="4357" max="4373" width="9.140625" style="3" customWidth="1"/>
    <col min="4374" max="4609" width="9" style="3"/>
    <col min="4610" max="4610" width="5.140625" style="3" customWidth="1"/>
    <col min="4611" max="4611" width="19.85546875" style="3" customWidth="1"/>
    <col min="4612" max="4612" width="11.85546875" style="3" customWidth="1"/>
    <col min="4613" max="4629" width="9.140625" style="3" customWidth="1"/>
    <col min="4630" max="4865" width="9" style="3"/>
    <col min="4866" max="4866" width="5.140625" style="3" customWidth="1"/>
    <col min="4867" max="4867" width="19.85546875" style="3" customWidth="1"/>
    <col min="4868" max="4868" width="11.85546875" style="3" customWidth="1"/>
    <col min="4869" max="4885" width="9.140625" style="3" customWidth="1"/>
    <col min="4886" max="5121" width="9" style="3"/>
    <col min="5122" max="5122" width="5.140625" style="3" customWidth="1"/>
    <col min="5123" max="5123" width="19.85546875" style="3" customWidth="1"/>
    <col min="5124" max="5124" width="11.85546875" style="3" customWidth="1"/>
    <col min="5125" max="5141" width="9.140625" style="3" customWidth="1"/>
    <col min="5142" max="5377" width="9" style="3"/>
    <col min="5378" max="5378" width="5.140625" style="3" customWidth="1"/>
    <col min="5379" max="5379" width="19.85546875" style="3" customWidth="1"/>
    <col min="5380" max="5380" width="11.85546875" style="3" customWidth="1"/>
    <col min="5381" max="5397" width="9.140625" style="3" customWidth="1"/>
    <col min="5398" max="5633" width="9" style="3"/>
    <col min="5634" max="5634" width="5.140625" style="3" customWidth="1"/>
    <col min="5635" max="5635" width="19.85546875" style="3" customWidth="1"/>
    <col min="5636" max="5636" width="11.85546875" style="3" customWidth="1"/>
    <col min="5637" max="5653" width="9.140625" style="3" customWidth="1"/>
    <col min="5654" max="5889" width="9" style="3"/>
    <col min="5890" max="5890" width="5.140625" style="3" customWidth="1"/>
    <col min="5891" max="5891" width="19.85546875" style="3" customWidth="1"/>
    <col min="5892" max="5892" width="11.85546875" style="3" customWidth="1"/>
    <col min="5893" max="5909" width="9.140625" style="3" customWidth="1"/>
    <col min="5910" max="6145" width="9" style="3"/>
    <col min="6146" max="6146" width="5.140625" style="3" customWidth="1"/>
    <col min="6147" max="6147" width="19.85546875" style="3" customWidth="1"/>
    <col min="6148" max="6148" width="11.85546875" style="3" customWidth="1"/>
    <col min="6149" max="6165" width="9.140625" style="3" customWidth="1"/>
    <col min="6166" max="6401" width="9" style="3"/>
    <col min="6402" max="6402" width="5.140625" style="3" customWidth="1"/>
    <col min="6403" max="6403" width="19.85546875" style="3" customWidth="1"/>
    <col min="6404" max="6404" width="11.85546875" style="3" customWidth="1"/>
    <col min="6405" max="6421" width="9.140625" style="3" customWidth="1"/>
    <col min="6422" max="6657" width="9" style="3"/>
    <col min="6658" max="6658" width="5.140625" style="3" customWidth="1"/>
    <col min="6659" max="6659" width="19.85546875" style="3" customWidth="1"/>
    <col min="6660" max="6660" width="11.85546875" style="3" customWidth="1"/>
    <col min="6661" max="6677" width="9.140625" style="3" customWidth="1"/>
    <col min="6678" max="6913" width="9" style="3"/>
    <col min="6914" max="6914" width="5.140625" style="3" customWidth="1"/>
    <col min="6915" max="6915" width="19.85546875" style="3" customWidth="1"/>
    <col min="6916" max="6916" width="11.85546875" style="3" customWidth="1"/>
    <col min="6917" max="6933" width="9.140625" style="3" customWidth="1"/>
    <col min="6934" max="7169" width="9" style="3"/>
    <col min="7170" max="7170" width="5.140625" style="3" customWidth="1"/>
    <col min="7171" max="7171" width="19.85546875" style="3" customWidth="1"/>
    <col min="7172" max="7172" width="11.85546875" style="3" customWidth="1"/>
    <col min="7173" max="7189" width="9.140625" style="3" customWidth="1"/>
    <col min="7190" max="7425" width="9" style="3"/>
    <col min="7426" max="7426" width="5.140625" style="3" customWidth="1"/>
    <col min="7427" max="7427" width="19.85546875" style="3" customWidth="1"/>
    <col min="7428" max="7428" width="11.85546875" style="3" customWidth="1"/>
    <col min="7429" max="7445" width="9.140625" style="3" customWidth="1"/>
    <col min="7446" max="7681" width="9" style="3"/>
    <col min="7682" max="7682" width="5.140625" style="3" customWidth="1"/>
    <col min="7683" max="7683" width="19.85546875" style="3" customWidth="1"/>
    <col min="7684" max="7684" width="11.85546875" style="3" customWidth="1"/>
    <col min="7685" max="7701" width="9.140625" style="3" customWidth="1"/>
    <col min="7702" max="7937" width="9" style="3"/>
    <col min="7938" max="7938" width="5.140625" style="3" customWidth="1"/>
    <col min="7939" max="7939" width="19.85546875" style="3" customWidth="1"/>
    <col min="7940" max="7940" width="11.85546875" style="3" customWidth="1"/>
    <col min="7941" max="7957" width="9.140625" style="3" customWidth="1"/>
    <col min="7958" max="8193" width="9" style="3"/>
    <col min="8194" max="8194" width="5.140625" style="3" customWidth="1"/>
    <col min="8195" max="8195" width="19.85546875" style="3" customWidth="1"/>
    <col min="8196" max="8196" width="11.85546875" style="3" customWidth="1"/>
    <col min="8197" max="8213" width="9.140625" style="3" customWidth="1"/>
    <col min="8214" max="8449" width="9" style="3"/>
    <col min="8450" max="8450" width="5.140625" style="3" customWidth="1"/>
    <col min="8451" max="8451" width="19.85546875" style="3" customWidth="1"/>
    <col min="8452" max="8452" width="11.85546875" style="3" customWidth="1"/>
    <col min="8453" max="8469" width="9.140625" style="3" customWidth="1"/>
    <col min="8470" max="8705" width="9" style="3"/>
    <col min="8706" max="8706" width="5.140625" style="3" customWidth="1"/>
    <col min="8707" max="8707" width="19.85546875" style="3" customWidth="1"/>
    <col min="8708" max="8708" width="11.85546875" style="3" customWidth="1"/>
    <col min="8709" max="8725" width="9.140625" style="3" customWidth="1"/>
    <col min="8726" max="8961" width="9" style="3"/>
    <col min="8962" max="8962" width="5.140625" style="3" customWidth="1"/>
    <col min="8963" max="8963" width="19.85546875" style="3" customWidth="1"/>
    <col min="8964" max="8964" width="11.85546875" style="3" customWidth="1"/>
    <col min="8965" max="8981" width="9.140625" style="3" customWidth="1"/>
    <col min="8982" max="9217" width="9" style="3"/>
    <col min="9218" max="9218" width="5.140625" style="3" customWidth="1"/>
    <col min="9219" max="9219" width="19.85546875" style="3" customWidth="1"/>
    <col min="9220" max="9220" width="11.85546875" style="3" customWidth="1"/>
    <col min="9221" max="9237" width="9.140625" style="3" customWidth="1"/>
    <col min="9238" max="9473" width="9" style="3"/>
    <col min="9474" max="9474" width="5.140625" style="3" customWidth="1"/>
    <col min="9475" max="9475" width="19.85546875" style="3" customWidth="1"/>
    <col min="9476" max="9476" width="11.85546875" style="3" customWidth="1"/>
    <col min="9477" max="9493" width="9.140625" style="3" customWidth="1"/>
    <col min="9494" max="9729" width="9" style="3"/>
    <col min="9730" max="9730" width="5.140625" style="3" customWidth="1"/>
    <col min="9731" max="9731" width="19.85546875" style="3" customWidth="1"/>
    <col min="9732" max="9732" width="11.85546875" style="3" customWidth="1"/>
    <col min="9733" max="9749" width="9.140625" style="3" customWidth="1"/>
    <col min="9750" max="9985" width="9" style="3"/>
    <col min="9986" max="9986" width="5.140625" style="3" customWidth="1"/>
    <col min="9987" max="9987" width="19.85546875" style="3" customWidth="1"/>
    <col min="9988" max="9988" width="11.85546875" style="3" customWidth="1"/>
    <col min="9989" max="10005" width="9.140625" style="3" customWidth="1"/>
    <col min="10006" max="10241" width="9" style="3"/>
    <col min="10242" max="10242" width="5.140625" style="3" customWidth="1"/>
    <col min="10243" max="10243" width="19.85546875" style="3" customWidth="1"/>
    <col min="10244" max="10244" width="11.85546875" style="3" customWidth="1"/>
    <col min="10245" max="10261" width="9.140625" style="3" customWidth="1"/>
    <col min="10262" max="10497" width="9" style="3"/>
    <col min="10498" max="10498" width="5.140625" style="3" customWidth="1"/>
    <col min="10499" max="10499" width="19.85546875" style="3" customWidth="1"/>
    <col min="10500" max="10500" width="11.85546875" style="3" customWidth="1"/>
    <col min="10501" max="10517" width="9.140625" style="3" customWidth="1"/>
    <col min="10518" max="10753" width="9" style="3"/>
    <col min="10754" max="10754" width="5.140625" style="3" customWidth="1"/>
    <col min="10755" max="10755" width="19.85546875" style="3" customWidth="1"/>
    <col min="10756" max="10756" width="11.85546875" style="3" customWidth="1"/>
    <col min="10757" max="10773" width="9.140625" style="3" customWidth="1"/>
    <col min="10774" max="11009" width="9" style="3"/>
    <col min="11010" max="11010" width="5.140625" style="3" customWidth="1"/>
    <col min="11011" max="11011" width="19.85546875" style="3" customWidth="1"/>
    <col min="11012" max="11012" width="11.85546875" style="3" customWidth="1"/>
    <col min="11013" max="11029" width="9.140625" style="3" customWidth="1"/>
    <col min="11030" max="11265" width="9" style="3"/>
    <col min="11266" max="11266" width="5.140625" style="3" customWidth="1"/>
    <col min="11267" max="11267" width="19.85546875" style="3" customWidth="1"/>
    <col min="11268" max="11268" width="11.85546875" style="3" customWidth="1"/>
    <col min="11269" max="11285" width="9.140625" style="3" customWidth="1"/>
    <col min="11286" max="11521" width="9" style="3"/>
    <col min="11522" max="11522" width="5.140625" style="3" customWidth="1"/>
    <col min="11523" max="11523" width="19.85546875" style="3" customWidth="1"/>
    <col min="11524" max="11524" width="11.85546875" style="3" customWidth="1"/>
    <col min="11525" max="11541" width="9.140625" style="3" customWidth="1"/>
    <col min="11542" max="11777" width="9" style="3"/>
    <col min="11778" max="11778" width="5.140625" style="3" customWidth="1"/>
    <col min="11779" max="11779" width="19.85546875" style="3" customWidth="1"/>
    <col min="11780" max="11780" width="11.85546875" style="3" customWidth="1"/>
    <col min="11781" max="11797" width="9.140625" style="3" customWidth="1"/>
    <col min="11798" max="12033" width="9" style="3"/>
    <col min="12034" max="12034" width="5.140625" style="3" customWidth="1"/>
    <col min="12035" max="12035" width="19.85546875" style="3" customWidth="1"/>
    <col min="12036" max="12036" width="11.85546875" style="3" customWidth="1"/>
    <col min="12037" max="12053" width="9.140625" style="3" customWidth="1"/>
    <col min="12054" max="12289" width="9" style="3"/>
    <col min="12290" max="12290" width="5.140625" style="3" customWidth="1"/>
    <col min="12291" max="12291" width="19.85546875" style="3" customWidth="1"/>
    <col min="12292" max="12292" width="11.85546875" style="3" customWidth="1"/>
    <col min="12293" max="12309" width="9.140625" style="3" customWidth="1"/>
    <col min="12310" max="12545" width="9" style="3"/>
    <col min="12546" max="12546" width="5.140625" style="3" customWidth="1"/>
    <col min="12547" max="12547" width="19.85546875" style="3" customWidth="1"/>
    <col min="12548" max="12548" width="11.85546875" style="3" customWidth="1"/>
    <col min="12549" max="12565" width="9.140625" style="3" customWidth="1"/>
    <col min="12566" max="12801" width="9" style="3"/>
    <col min="12802" max="12802" width="5.140625" style="3" customWidth="1"/>
    <col min="12803" max="12803" width="19.85546875" style="3" customWidth="1"/>
    <col min="12804" max="12804" width="11.85546875" style="3" customWidth="1"/>
    <col min="12805" max="12821" width="9.140625" style="3" customWidth="1"/>
    <col min="12822" max="13057" width="9" style="3"/>
    <col min="13058" max="13058" width="5.140625" style="3" customWidth="1"/>
    <col min="13059" max="13059" width="19.85546875" style="3" customWidth="1"/>
    <col min="13060" max="13060" width="11.85546875" style="3" customWidth="1"/>
    <col min="13061" max="13077" width="9.140625" style="3" customWidth="1"/>
    <col min="13078" max="13313" width="9" style="3"/>
    <col min="13314" max="13314" width="5.140625" style="3" customWidth="1"/>
    <col min="13315" max="13315" width="19.85546875" style="3" customWidth="1"/>
    <col min="13316" max="13316" width="11.85546875" style="3" customWidth="1"/>
    <col min="13317" max="13333" width="9.140625" style="3" customWidth="1"/>
    <col min="13334" max="13569" width="9" style="3"/>
    <col min="13570" max="13570" width="5.140625" style="3" customWidth="1"/>
    <col min="13571" max="13571" width="19.85546875" style="3" customWidth="1"/>
    <col min="13572" max="13572" width="11.85546875" style="3" customWidth="1"/>
    <col min="13573" max="13589" width="9.140625" style="3" customWidth="1"/>
    <col min="13590" max="13825" width="9" style="3"/>
    <col min="13826" max="13826" width="5.140625" style="3" customWidth="1"/>
    <col min="13827" max="13827" width="19.85546875" style="3" customWidth="1"/>
    <col min="13828" max="13828" width="11.85546875" style="3" customWidth="1"/>
    <col min="13829" max="13845" width="9.140625" style="3" customWidth="1"/>
    <col min="13846" max="14081" width="9" style="3"/>
    <col min="14082" max="14082" width="5.140625" style="3" customWidth="1"/>
    <col min="14083" max="14083" width="19.85546875" style="3" customWidth="1"/>
    <col min="14084" max="14084" width="11.85546875" style="3" customWidth="1"/>
    <col min="14085" max="14101" width="9.140625" style="3" customWidth="1"/>
    <col min="14102" max="14337" width="9" style="3"/>
    <col min="14338" max="14338" width="5.140625" style="3" customWidth="1"/>
    <col min="14339" max="14339" width="19.85546875" style="3" customWidth="1"/>
    <col min="14340" max="14340" width="11.85546875" style="3" customWidth="1"/>
    <col min="14341" max="14357" width="9.140625" style="3" customWidth="1"/>
    <col min="14358" max="14593" width="9" style="3"/>
    <col min="14594" max="14594" width="5.140625" style="3" customWidth="1"/>
    <col min="14595" max="14595" width="19.85546875" style="3" customWidth="1"/>
    <col min="14596" max="14596" width="11.85546875" style="3" customWidth="1"/>
    <col min="14597" max="14613" width="9.140625" style="3" customWidth="1"/>
    <col min="14614" max="14849" width="9" style="3"/>
    <col min="14850" max="14850" width="5.140625" style="3" customWidth="1"/>
    <col min="14851" max="14851" width="19.85546875" style="3" customWidth="1"/>
    <col min="14852" max="14852" width="11.85546875" style="3" customWidth="1"/>
    <col min="14853" max="14869" width="9.140625" style="3" customWidth="1"/>
    <col min="14870" max="15105" width="9" style="3"/>
    <col min="15106" max="15106" width="5.140625" style="3" customWidth="1"/>
    <col min="15107" max="15107" width="19.85546875" style="3" customWidth="1"/>
    <col min="15108" max="15108" width="11.85546875" style="3" customWidth="1"/>
    <col min="15109" max="15125" width="9.140625" style="3" customWidth="1"/>
    <col min="15126" max="15361" width="9" style="3"/>
    <col min="15362" max="15362" width="5.140625" style="3" customWidth="1"/>
    <col min="15363" max="15363" width="19.85546875" style="3" customWidth="1"/>
    <col min="15364" max="15364" width="11.85546875" style="3" customWidth="1"/>
    <col min="15365" max="15381" width="9.140625" style="3" customWidth="1"/>
    <col min="15382" max="15617" width="9" style="3"/>
    <col min="15618" max="15618" width="5.140625" style="3" customWidth="1"/>
    <col min="15619" max="15619" width="19.85546875" style="3" customWidth="1"/>
    <col min="15620" max="15620" width="11.85546875" style="3" customWidth="1"/>
    <col min="15621" max="15637" width="9.140625" style="3" customWidth="1"/>
    <col min="15638" max="15873" width="9" style="3"/>
    <col min="15874" max="15874" width="5.140625" style="3" customWidth="1"/>
    <col min="15875" max="15875" width="19.85546875" style="3" customWidth="1"/>
    <col min="15876" max="15876" width="11.85546875" style="3" customWidth="1"/>
    <col min="15877" max="15893" width="9.140625" style="3" customWidth="1"/>
    <col min="15894" max="16129" width="9" style="3"/>
    <col min="16130" max="16130" width="5.140625" style="3" customWidth="1"/>
    <col min="16131" max="16131" width="19.85546875" style="3" customWidth="1"/>
    <col min="16132" max="16132" width="11.85546875" style="3" customWidth="1"/>
    <col min="16133" max="16149" width="9.140625" style="3" customWidth="1"/>
    <col min="16150" max="16384" width="9" style="3"/>
  </cols>
  <sheetData>
    <row r="1" spans="1:23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"/>
      <c r="W1" s="1"/>
    </row>
    <row r="2" spans="1:23" ht="174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3" x14ac:dyDescent="0.25">
      <c r="A3" s="133" t="s">
        <v>4</v>
      </c>
      <c r="B3" s="19" t="s">
        <v>38</v>
      </c>
      <c r="C3" s="19" t="s">
        <v>7</v>
      </c>
      <c r="D3" s="107">
        <f>100-(67.95-52.82)/52.82*50</f>
        <v>85.677773570617191</v>
      </c>
      <c r="E3" s="107">
        <f>100-(79.55-70.12)/70.12*50</f>
        <v>93.275812892184831</v>
      </c>
      <c r="F3" s="16">
        <f>100-(41.18-41.18)/41.18*50</f>
        <v>100</v>
      </c>
      <c r="G3" s="16">
        <f>100-(66.88-66.88)/66.88*50</f>
        <v>100</v>
      </c>
      <c r="H3" s="107">
        <f>100-(59.6-54.55)/54.55*50</f>
        <v>95.371219065077909</v>
      </c>
      <c r="I3" s="16">
        <f>100-(23.77-22.67)/22.67*50</f>
        <v>97.573886193206889</v>
      </c>
      <c r="J3" s="16">
        <f>100-(93.18-87.1)/87.1*50</f>
        <v>96.509758897818585</v>
      </c>
      <c r="K3" s="107">
        <f>100-(31.32-29.22)/29.22*50</f>
        <v>96.406570841889121</v>
      </c>
      <c r="L3" s="16">
        <f>100-(45.5-45.5)/45.5*50</f>
        <v>100</v>
      </c>
      <c r="M3" s="16">
        <f>100-(21.9-21.9)/21.9*50</f>
        <v>100</v>
      </c>
      <c r="N3" s="16">
        <f>100-(81.58-81.58)/81.58*50</f>
        <v>100</v>
      </c>
      <c r="O3" s="107">
        <f>100-(41.75-28.92)/28.92*50</f>
        <v>77.818118948824349</v>
      </c>
      <c r="P3" s="16">
        <f>100-(56.88-56.88)/56.88*50</f>
        <v>100</v>
      </c>
      <c r="Q3" s="16">
        <f>100-(45.37-44.41)/44.41*50</f>
        <v>98.919162350821892</v>
      </c>
      <c r="R3" s="16">
        <f>100-(52.82-52.82)/52.82*50</f>
        <v>100</v>
      </c>
      <c r="S3" s="16"/>
      <c r="T3" s="16"/>
      <c r="U3" s="134">
        <f>SUM(D3:T3)-D3-E3-O3-H3-K3</f>
        <v>993.00280744184738</v>
      </c>
    </row>
    <row r="4" spans="1:23" x14ac:dyDescent="0.25">
      <c r="A4" s="133" t="s">
        <v>6</v>
      </c>
      <c r="B4" s="19" t="s">
        <v>58</v>
      </c>
      <c r="C4" s="19" t="s">
        <v>60</v>
      </c>
      <c r="D4" s="16">
        <f>100-(52.82-52.82)/52.82*50</f>
        <v>100</v>
      </c>
      <c r="E4" s="16">
        <f>100-(70.33-70.12)/70.12*50</f>
        <v>99.850256702795207</v>
      </c>
      <c r="F4" s="25"/>
      <c r="G4" s="25"/>
      <c r="H4" s="16">
        <f>100-(54.55-54.55)/54.55*50</f>
        <v>100</v>
      </c>
      <c r="I4" s="16">
        <f>100-(23.72-22.67)/22.67*50</f>
        <v>97.684164093515662</v>
      </c>
      <c r="J4" s="16">
        <f>100-(96.37-87.1)/87.1*50</f>
        <v>94.678530424799078</v>
      </c>
      <c r="K4" s="16"/>
      <c r="L4" s="16"/>
      <c r="M4" s="16"/>
      <c r="N4" s="16"/>
      <c r="O4" s="16">
        <f>100-(28.92-28.92)/28.92*50</f>
        <v>100</v>
      </c>
      <c r="P4" s="107">
        <f>100-(71.15-56.88)/56.88*50</f>
        <v>87.456047819971872</v>
      </c>
      <c r="Q4" s="16">
        <f>100-(44.41-44.41)/44.41*50</f>
        <v>100</v>
      </c>
      <c r="R4" s="16">
        <f>100-(56.95-52.82)/52.82*50</f>
        <v>96.090496024233246</v>
      </c>
      <c r="S4" s="16">
        <f>100-(87.17-87.17)/87.17*50</f>
        <v>100</v>
      </c>
      <c r="T4" s="16">
        <f>100-(81.58-81.58)/81.58*50</f>
        <v>100</v>
      </c>
      <c r="U4" s="134">
        <f>SUM(D4:T4)-P4</f>
        <v>988.30344724534325</v>
      </c>
    </row>
    <row r="5" spans="1:23" x14ac:dyDescent="0.25">
      <c r="A5" s="133" t="s">
        <v>8</v>
      </c>
      <c r="B5" s="19" t="s">
        <v>35</v>
      </c>
      <c r="C5" s="19" t="s">
        <v>90</v>
      </c>
      <c r="D5" s="107">
        <f>100-(70.15-52.82)/52.82*50</f>
        <v>83.595229079893969</v>
      </c>
      <c r="E5" s="16">
        <f>100-(71.53-70.12)/70.12*50</f>
        <v>98.994580718767835</v>
      </c>
      <c r="F5" s="16">
        <f>100-(44.05-41.18)/41.18*50</f>
        <v>96.515298688683828</v>
      </c>
      <c r="G5" s="16">
        <f>100-(67.57-66.88)/66.88*50</f>
        <v>99.484150717703358</v>
      </c>
      <c r="H5" s="16"/>
      <c r="I5" s="120">
        <f>(N5+M5+L5)/3</f>
        <v>94.208214441154965</v>
      </c>
      <c r="J5" s="121">
        <f>(L5+M5+N5)/3</f>
        <v>94.208214441154965</v>
      </c>
      <c r="K5" s="107">
        <f>100-(35.13-29.22)/29.22*50</f>
        <v>89.887063655030801</v>
      </c>
      <c r="L5" s="16">
        <f>100-(51.88-45.5)/45.5*50</f>
        <v>92.989010989010993</v>
      </c>
      <c r="M5" s="107">
        <f>100-(26.3-21.9)/21.9*50</f>
        <v>89.954337899543376</v>
      </c>
      <c r="N5" s="16">
        <f>100-(82.1-81.58)/81.58*50</f>
        <v>99.681294434910527</v>
      </c>
      <c r="O5" s="107">
        <f>100-(44.8-28.92)/28.92*50</f>
        <v>72.544951590594749</v>
      </c>
      <c r="P5" s="107">
        <f>100-(67.9-56.88)/56.88*50</f>
        <v>90.312939521800274</v>
      </c>
      <c r="Q5" s="16">
        <f>100-(49.77-44.41)/44.41*50</f>
        <v>93.965323125422188</v>
      </c>
      <c r="R5" s="16">
        <f>100-(60.2-52.82)/52.82*50</f>
        <v>93.014009844755776</v>
      </c>
      <c r="S5" s="107">
        <f>100-(109.12-87.17)/87.17*50</f>
        <v>87.409659286451756</v>
      </c>
      <c r="T5" s="16">
        <f>100-(94.63-81.58)/81.58*50</f>
        <v>92.001716106888949</v>
      </c>
      <c r="U5" s="134">
        <f>SUM(D5:T5)-O5-D5-M5-K5-P5-S5</f>
        <v>955.06181350845384</v>
      </c>
    </row>
    <row r="6" spans="1:23" x14ac:dyDescent="0.25">
      <c r="A6" s="133" t="s">
        <v>11</v>
      </c>
      <c r="B6" s="19" t="s">
        <v>50</v>
      </c>
      <c r="C6" s="19" t="s">
        <v>51</v>
      </c>
      <c r="D6" s="107">
        <f>100-(70.77-52.82)/52.82*50</f>
        <v>83.008330177962904</v>
      </c>
      <c r="E6" s="16">
        <f>100-(84.27-70.12)/70.12*50</f>
        <v>89.91015402167713</v>
      </c>
      <c r="F6" s="16">
        <f>100-(41.77-41.18)/41.18*50</f>
        <v>99.283632831471579</v>
      </c>
      <c r="G6" s="16">
        <f>100-(71.08-66.88)/66.88*50</f>
        <v>96.860047846889955</v>
      </c>
      <c r="H6" s="16">
        <f>100-(67.23-54.55)/54.55*50</f>
        <v>88.377635197066908</v>
      </c>
      <c r="I6" s="107">
        <f>100-(28.48-22.67)/22.67*50</f>
        <v>87.185707984119986</v>
      </c>
      <c r="J6" s="16">
        <f>100-(104.15-87.1)/87.1*50</f>
        <v>90.212399540757744</v>
      </c>
      <c r="K6" s="16">
        <f>100-(34.77-29.22)/29.22*50</f>
        <v>90.503080082135511</v>
      </c>
      <c r="L6" s="16">
        <f>100-(51.72-45.5)/45.5*50</f>
        <v>93.164835164835168</v>
      </c>
      <c r="M6" s="16"/>
      <c r="N6" s="16"/>
      <c r="O6" s="107">
        <f>100-(40.42-28.92)/28.92*50</f>
        <v>80.117565698478558</v>
      </c>
      <c r="P6" s="16">
        <f>100-(63.27-56.88)/56.88*50</f>
        <v>94.382911392405063</v>
      </c>
      <c r="Q6" s="16">
        <f>100-(49.13-44.41)/44.41*50</f>
        <v>94.685881558207598</v>
      </c>
      <c r="R6" s="16">
        <f>100-(57.88-52.82)/52.82*50</f>
        <v>95.210147671336614</v>
      </c>
      <c r="S6" s="16"/>
      <c r="T6" s="16"/>
      <c r="U6" s="134">
        <f>SUM(D6:T6)-O6-D6-I6</f>
        <v>932.59072530678338</v>
      </c>
    </row>
    <row r="7" spans="1:23" x14ac:dyDescent="0.25">
      <c r="A7" s="133" t="s">
        <v>13</v>
      </c>
      <c r="B7" s="19" t="s">
        <v>77</v>
      </c>
      <c r="C7" s="19" t="s">
        <v>34</v>
      </c>
      <c r="D7" s="16">
        <f>100-(57.38-52.82)/52.82*50</f>
        <v>95.683453237410063</v>
      </c>
      <c r="E7" s="16">
        <f>100-(70.12-70.12)/70.12*50</f>
        <v>100</v>
      </c>
      <c r="F7" s="28"/>
      <c r="G7" s="19"/>
      <c r="H7" s="16">
        <f>100-(59.88-54.55)/54.55*50</f>
        <v>95.114573785517862</v>
      </c>
      <c r="I7" s="16">
        <f>100-(22.67-22.67)/22.67*50</f>
        <v>100</v>
      </c>
      <c r="J7" s="16">
        <f>100-(87.1-87.1)/87.1*50</f>
        <v>100</v>
      </c>
      <c r="K7" s="16">
        <f>100-(29.22-29.22)/29.22*50</f>
        <v>100</v>
      </c>
      <c r="L7" s="16"/>
      <c r="M7" s="16"/>
      <c r="N7" s="16"/>
      <c r="O7" s="66" t="s">
        <v>12</v>
      </c>
      <c r="P7" s="16">
        <f>100-(67.97-56.88)/56.88*50</f>
        <v>90.251406469760909</v>
      </c>
      <c r="Q7" s="16"/>
      <c r="R7" s="16"/>
      <c r="S7" s="16"/>
      <c r="T7" s="16"/>
      <c r="U7" s="134">
        <f t="shared" ref="U7:U20" si="0">SUM(D7:T7)</f>
        <v>681.04943349268888</v>
      </c>
    </row>
    <row r="8" spans="1:23" x14ac:dyDescent="0.25">
      <c r="A8" s="133" t="s">
        <v>15</v>
      </c>
      <c r="B8" s="19" t="s">
        <v>40</v>
      </c>
      <c r="C8" s="19" t="s">
        <v>39</v>
      </c>
      <c r="D8" s="16">
        <f>100-(98.67-52.82)/52.82*50</f>
        <v>56.597879591063986</v>
      </c>
      <c r="E8" s="16">
        <f>100-(111.5-70.12)/70.12*50</f>
        <v>70.493439817455794</v>
      </c>
      <c r="F8" s="66" t="s">
        <v>12</v>
      </c>
      <c r="G8" s="16">
        <f>100-(90.17-66.88)/66.88*50</f>
        <v>82.588217703349272</v>
      </c>
      <c r="H8" s="16">
        <f>100-(100.5-54.55)/54.55*50</f>
        <v>57.882676443629691</v>
      </c>
      <c r="I8" s="16">
        <f>100-(45.6-22.67)/22.67*50</f>
        <v>49.426554918394359</v>
      </c>
      <c r="J8" s="66" t="s">
        <v>12</v>
      </c>
      <c r="K8" s="16"/>
      <c r="L8" s="16">
        <f>100-(73.77-45.5)/45.5*50</f>
        <v>68.934065934065941</v>
      </c>
      <c r="M8" s="16"/>
      <c r="N8" s="16"/>
      <c r="O8" s="16"/>
      <c r="P8" s="16"/>
      <c r="Q8" s="16"/>
      <c r="R8" s="16">
        <f>100-(73.8-52.82)/52.82*50</f>
        <v>80.140098447557747</v>
      </c>
      <c r="S8" s="16">
        <f>100-(123.82-87.17)/87.17*50</f>
        <v>78.977859355282789</v>
      </c>
      <c r="T8" s="16">
        <f>100-(133-81.58)/81.58*50</f>
        <v>68.48492277519</v>
      </c>
      <c r="U8" s="134">
        <f t="shared" si="0"/>
        <v>613.52571498598945</v>
      </c>
    </row>
    <row r="9" spans="1:23" x14ac:dyDescent="0.25">
      <c r="A9" s="133" t="s">
        <v>17</v>
      </c>
      <c r="B9" s="19" t="s">
        <v>89</v>
      </c>
      <c r="C9" s="19" t="s">
        <v>92</v>
      </c>
      <c r="D9" s="16">
        <f>100-(57.03-52.82)/52.82*50</f>
        <v>96.014767133661493</v>
      </c>
      <c r="E9" s="16">
        <f>100-(75.2-70.12)/70.12*50</f>
        <v>96.377638334284086</v>
      </c>
      <c r="F9" s="28"/>
      <c r="G9" s="16"/>
      <c r="H9" s="19"/>
      <c r="I9" s="19"/>
      <c r="J9" s="16"/>
      <c r="K9" s="16"/>
      <c r="L9" s="16"/>
      <c r="M9" s="16"/>
      <c r="N9" s="19"/>
      <c r="O9" s="16"/>
      <c r="P9" s="16"/>
      <c r="Q9" s="16"/>
      <c r="R9" s="16"/>
      <c r="S9" s="16">
        <f>100-(94.15-87.17)/87.17*50</f>
        <v>95.996329012274856</v>
      </c>
      <c r="T9" s="16">
        <f>100-(93.02-81.58)/81.58*50</f>
        <v>92.988477568031385</v>
      </c>
      <c r="U9" s="134">
        <f t="shared" si="0"/>
        <v>381.37721204825186</v>
      </c>
    </row>
    <row r="10" spans="1:23" x14ac:dyDescent="0.25">
      <c r="A10" s="133" t="s">
        <v>18</v>
      </c>
      <c r="B10" s="19" t="s">
        <v>66</v>
      </c>
      <c r="C10" s="19" t="s">
        <v>39</v>
      </c>
      <c r="D10" s="16"/>
      <c r="E10" s="16"/>
      <c r="F10" s="28"/>
      <c r="G10" s="16"/>
      <c r="H10" s="66" t="s">
        <v>12</v>
      </c>
      <c r="I10" s="16">
        <f>100-(30.33-22.67)/22.67*50</f>
        <v>83.105425672695205</v>
      </c>
      <c r="J10" s="16">
        <f>100-(115.9-87.1)/87.1*50</f>
        <v>83.467278989667051</v>
      </c>
      <c r="K10" s="16"/>
      <c r="L10" s="16"/>
      <c r="M10" s="16"/>
      <c r="N10" s="19"/>
      <c r="O10" s="19"/>
      <c r="P10" s="19"/>
      <c r="Q10" s="16"/>
      <c r="R10" s="19"/>
      <c r="S10" s="16">
        <f>100-(106.23-87.17)/87.17*50</f>
        <v>89.067339681082942</v>
      </c>
      <c r="T10" s="16">
        <f>100-(114.13-81.58)/81.58*50</f>
        <v>80.050257416033347</v>
      </c>
      <c r="U10" s="134">
        <f t="shared" si="0"/>
        <v>335.69030175947853</v>
      </c>
    </row>
    <row r="11" spans="1:23" x14ac:dyDescent="0.25">
      <c r="A11" s="133" t="s">
        <v>19</v>
      </c>
      <c r="B11" s="19" t="s">
        <v>40</v>
      </c>
      <c r="C11" s="19" t="s">
        <v>113</v>
      </c>
      <c r="D11" s="19"/>
      <c r="E11" s="16"/>
      <c r="F11" s="28"/>
      <c r="G11" s="16"/>
      <c r="H11" s="19"/>
      <c r="I11" s="19"/>
      <c r="J11" s="16"/>
      <c r="K11" s="16"/>
      <c r="L11" s="16"/>
      <c r="M11" s="16"/>
      <c r="N11" s="19"/>
      <c r="O11" s="19"/>
      <c r="P11" s="16"/>
      <c r="Q11" s="16">
        <f>100-(94.55-44.41)/44.41*50</f>
        <v>43.548750281468131</v>
      </c>
      <c r="R11" s="16">
        <f>100-(90.47-52.82)/52.82*50</f>
        <v>64.360090874668686</v>
      </c>
      <c r="S11" s="16">
        <f>100-(139.9-87.17)/87.17*50</f>
        <v>69.754502695881612</v>
      </c>
      <c r="T11" s="16">
        <f>100-(136.15-81.58)/81.58*50</f>
        <v>66.554302525128691</v>
      </c>
      <c r="U11" s="134">
        <f t="shared" si="0"/>
        <v>244.21764637714713</v>
      </c>
    </row>
    <row r="12" spans="1:23" x14ac:dyDescent="0.25">
      <c r="A12" s="133" t="s">
        <v>20</v>
      </c>
      <c r="B12" s="19" t="s">
        <v>37</v>
      </c>
      <c r="C12" s="19" t="s">
        <v>91</v>
      </c>
      <c r="D12" s="66" t="s">
        <v>12</v>
      </c>
      <c r="E12" s="16">
        <f>100-(95.18-70.12)/70.12*50</f>
        <v>82.130633200228175</v>
      </c>
      <c r="F12" s="28"/>
      <c r="G12" s="19"/>
      <c r="H12" s="16">
        <f>100-(84.47-54.55)/54.55*50</f>
        <v>72.575618698441801</v>
      </c>
      <c r="I12" s="16">
        <f>100-(38.98-22.67)/22.67*50</f>
        <v>64.027348919276591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34">
        <f t="shared" si="0"/>
        <v>218.73360081794655</v>
      </c>
    </row>
    <row r="13" spans="1:23" x14ac:dyDescent="0.25">
      <c r="A13" s="133" t="s">
        <v>21</v>
      </c>
      <c r="B13" s="19" t="s">
        <v>53</v>
      </c>
      <c r="C13" s="19" t="s">
        <v>46</v>
      </c>
      <c r="D13" s="16"/>
      <c r="E13" s="16">
        <f>100-(117.5-70.12)/70.12*50</f>
        <v>66.215059897318895</v>
      </c>
      <c r="F13" s="16"/>
      <c r="G13" s="16"/>
      <c r="H13" s="66" t="s">
        <v>12</v>
      </c>
      <c r="I13" s="16">
        <f>100-(44.4-22.67)/22.67*50</f>
        <v>52.073224525805038</v>
      </c>
      <c r="J13" s="16">
        <f>100-(174.87-87.1)/87.1*50</f>
        <v>49.615384615384606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34">
        <f t="shared" si="0"/>
        <v>167.90366903850855</v>
      </c>
    </row>
    <row r="14" spans="1:23" x14ac:dyDescent="0.25">
      <c r="A14" s="133" t="s">
        <v>23</v>
      </c>
      <c r="B14" s="19" t="s">
        <v>175</v>
      </c>
      <c r="C14" s="19" t="s">
        <v>51</v>
      </c>
      <c r="D14" s="19"/>
      <c r="E14" s="16"/>
      <c r="F14" s="28"/>
      <c r="G14" s="16"/>
      <c r="H14" s="19"/>
      <c r="I14" s="19"/>
      <c r="J14" s="16"/>
      <c r="K14" s="16"/>
      <c r="L14" s="16"/>
      <c r="M14" s="16"/>
      <c r="N14" s="19"/>
      <c r="O14" s="19"/>
      <c r="P14" s="16">
        <f>100-(87.68-56.88)/56.88*50</f>
        <v>72.925457102672297</v>
      </c>
      <c r="Q14" s="19"/>
      <c r="R14" s="16">
        <f>100-(88.52-52.82)/52.82*50</f>
        <v>66.205982582355176</v>
      </c>
      <c r="S14" s="19"/>
      <c r="T14" s="19"/>
      <c r="U14" s="134">
        <f t="shared" si="0"/>
        <v>139.13143968502749</v>
      </c>
    </row>
    <row r="15" spans="1:23" x14ac:dyDescent="0.25">
      <c r="A15" s="133" t="s">
        <v>24</v>
      </c>
      <c r="B15" s="19" t="s">
        <v>146</v>
      </c>
      <c r="C15" s="19"/>
      <c r="D15" s="19"/>
      <c r="E15" s="19"/>
      <c r="F15" s="16"/>
      <c r="G15" s="16"/>
      <c r="H15" s="19"/>
      <c r="I15" s="16"/>
      <c r="J15" s="16"/>
      <c r="K15" s="16">
        <f>100-(59-29.22)/29.22*50</f>
        <v>49.041752224503767</v>
      </c>
      <c r="L15" s="16">
        <f>100-(64.32-45.5)/45.5*50</f>
        <v>79.318681318681328</v>
      </c>
      <c r="M15" s="16"/>
      <c r="N15" s="16"/>
      <c r="O15" s="16"/>
      <c r="P15" s="16"/>
      <c r="Q15" s="16"/>
      <c r="R15" s="16"/>
      <c r="S15" s="16"/>
      <c r="T15" s="16"/>
      <c r="U15" s="134">
        <f t="shared" si="0"/>
        <v>128.36043354318508</v>
      </c>
    </row>
    <row r="16" spans="1:23" x14ac:dyDescent="0.25">
      <c r="A16" s="133" t="s">
        <v>25</v>
      </c>
      <c r="B16" s="19" t="s">
        <v>16</v>
      </c>
      <c r="C16" s="19" t="s">
        <v>88</v>
      </c>
      <c r="D16" s="19"/>
      <c r="E16" s="16"/>
      <c r="F16" s="28"/>
      <c r="G16" s="16"/>
      <c r="H16" s="66" t="s">
        <v>12</v>
      </c>
      <c r="I16" s="16">
        <f>100-(24.58-22.67)/22.67*50</f>
        <v>95.787384208204685</v>
      </c>
      <c r="J16" s="16"/>
      <c r="K16" s="16"/>
      <c r="L16" s="16"/>
      <c r="M16" s="16"/>
      <c r="N16" s="19"/>
      <c r="O16" s="19"/>
      <c r="P16" s="19"/>
      <c r="Q16" s="19"/>
      <c r="R16" s="19"/>
      <c r="S16" s="19"/>
      <c r="T16" s="19"/>
      <c r="U16" s="134">
        <f t="shared" si="0"/>
        <v>95.787384208204685</v>
      </c>
    </row>
    <row r="17" spans="1:21" x14ac:dyDescent="0.25">
      <c r="A17" s="133" t="s">
        <v>69</v>
      </c>
      <c r="B17" s="19" t="s">
        <v>126</v>
      </c>
      <c r="C17" s="19" t="s">
        <v>59</v>
      </c>
      <c r="D17" s="19"/>
      <c r="E17" s="16"/>
      <c r="F17" s="28"/>
      <c r="G17" s="16"/>
      <c r="H17" s="19"/>
      <c r="I17" s="19"/>
      <c r="J17" s="16">
        <f>100-(99.48-87.1)/87.1*50</f>
        <v>92.893226176808255</v>
      </c>
      <c r="K17" s="16"/>
      <c r="L17" s="16"/>
      <c r="M17" s="16"/>
      <c r="N17" s="19"/>
      <c r="O17" s="19"/>
      <c r="P17" s="19"/>
      <c r="Q17" s="19"/>
      <c r="R17" s="19"/>
      <c r="S17" s="19"/>
      <c r="T17" s="19"/>
      <c r="U17" s="134">
        <f t="shared" si="0"/>
        <v>92.893226176808255</v>
      </c>
    </row>
    <row r="18" spans="1:21" x14ac:dyDescent="0.25">
      <c r="A18" s="133" t="s">
        <v>70</v>
      </c>
      <c r="B18" s="19" t="s">
        <v>171</v>
      </c>
      <c r="C18" s="19" t="s">
        <v>7</v>
      </c>
      <c r="D18" s="19"/>
      <c r="E18" s="16"/>
      <c r="F18" s="28"/>
      <c r="G18" s="16"/>
      <c r="H18" s="19"/>
      <c r="I18" s="19"/>
      <c r="J18" s="16"/>
      <c r="K18" s="16"/>
      <c r="L18" s="16"/>
      <c r="M18" s="16"/>
      <c r="N18" s="19"/>
      <c r="O18" s="16">
        <f>100-(35.32-28.92)/28.92*50</f>
        <v>88.934993084370689</v>
      </c>
      <c r="P18" s="16"/>
      <c r="Q18" s="19"/>
      <c r="R18" s="16"/>
      <c r="S18" s="19"/>
      <c r="T18" s="19"/>
      <c r="U18" s="134">
        <f t="shared" si="0"/>
        <v>88.934993084370689</v>
      </c>
    </row>
    <row r="19" spans="1:21" x14ac:dyDescent="0.25">
      <c r="A19" s="133" t="s">
        <v>71</v>
      </c>
      <c r="B19" s="19" t="s">
        <v>124</v>
      </c>
      <c r="C19" s="19" t="s">
        <v>29</v>
      </c>
      <c r="D19" s="19"/>
      <c r="E19" s="16"/>
      <c r="F19" s="28"/>
      <c r="G19" s="16"/>
      <c r="H19" s="16">
        <f>100-(90.62-54.55)/54.55*50</f>
        <v>66.938588450962413</v>
      </c>
      <c r="I19" s="66" t="s">
        <v>12</v>
      </c>
      <c r="J19" s="66" t="s">
        <v>12</v>
      </c>
      <c r="K19" s="16"/>
      <c r="L19" s="16"/>
      <c r="M19" s="16"/>
      <c r="N19" s="19"/>
      <c r="O19" s="19"/>
      <c r="P19" s="16"/>
      <c r="Q19" s="19"/>
      <c r="R19" s="16"/>
      <c r="S19" s="19"/>
      <c r="T19" s="16"/>
      <c r="U19" s="134">
        <f t="shared" si="0"/>
        <v>66.938588450962413</v>
      </c>
    </row>
    <row r="20" spans="1:21" x14ac:dyDescent="0.25">
      <c r="A20" s="133" t="s">
        <v>72</v>
      </c>
      <c r="B20" s="19" t="s">
        <v>125</v>
      </c>
      <c r="C20" s="19"/>
      <c r="D20" s="19"/>
      <c r="E20" s="16"/>
      <c r="F20" s="28"/>
      <c r="G20" s="16"/>
      <c r="H20" s="16">
        <f>100-(91.25-54.55)/54.55*50</f>
        <v>66.361136571952329</v>
      </c>
      <c r="I20" s="16"/>
      <c r="J20" s="16"/>
      <c r="K20" s="16"/>
      <c r="L20" s="16"/>
      <c r="M20" s="16"/>
      <c r="N20" s="19"/>
      <c r="O20" s="19"/>
      <c r="P20" s="16"/>
      <c r="Q20" s="19"/>
      <c r="R20" s="16"/>
      <c r="S20" s="16"/>
      <c r="T20" s="16"/>
      <c r="U20" s="134">
        <f t="shared" si="0"/>
        <v>66.361136571952329</v>
      </c>
    </row>
    <row r="21" spans="1:21" x14ac:dyDescent="0.25">
      <c r="A21" s="106" t="s">
        <v>159</v>
      </c>
      <c r="B21" s="106"/>
      <c r="C21" s="2"/>
      <c r="D21" s="2"/>
      <c r="E21" s="2"/>
      <c r="F21" s="38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39" customFormat="1" x14ac:dyDescent="0.25">
      <c r="A22" s="39" t="s">
        <v>26</v>
      </c>
    </row>
    <row r="23" spans="1:21" s="40" customFormat="1" x14ac:dyDescent="0.25">
      <c r="A23" s="40" t="s">
        <v>27</v>
      </c>
    </row>
  </sheetData>
  <sortState ref="B3:V20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zoomScaleNormal="100" workbookViewId="0">
      <selection activeCell="A2" sqref="A2:U9"/>
    </sheetView>
  </sheetViews>
  <sheetFormatPr defaultColWidth="9" defaultRowHeight="15" x14ac:dyDescent="0.25"/>
  <cols>
    <col min="1" max="1" width="5.140625" style="3" customWidth="1"/>
    <col min="2" max="2" width="18.5703125" style="3" customWidth="1"/>
    <col min="3" max="3" width="16.140625" style="3" customWidth="1"/>
    <col min="4" max="5" width="9.140625" style="3" customWidth="1"/>
    <col min="6" max="6" width="9.140625" style="41" customWidth="1"/>
    <col min="7" max="21" width="9.140625" style="3" customWidth="1"/>
    <col min="22" max="31" width="9" style="2"/>
    <col min="32" max="257" width="9" style="3"/>
    <col min="258" max="258" width="5.140625" style="3" customWidth="1"/>
    <col min="259" max="259" width="25.28515625" style="3" customWidth="1"/>
    <col min="260" max="260" width="11.85546875" style="3" customWidth="1"/>
    <col min="261" max="277" width="9.140625" style="3" customWidth="1"/>
    <col min="278" max="513" width="9" style="3"/>
    <col min="514" max="514" width="5.140625" style="3" customWidth="1"/>
    <col min="515" max="515" width="25.28515625" style="3" customWidth="1"/>
    <col min="516" max="516" width="11.85546875" style="3" customWidth="1"/>
    <col min="517" max="533" width="9.140625" style="3" customWidth="1"/>
    <col min="534" max="769" width="9" style="3"/>
    <col min="770" max="770" width="5.140625" style="3" customWidth="1"/>
    <col min="771" max="771" width="25.28515625" style="3" customWidth="1"/>
    <col min="772" max="772" width="11.85546875" style="3" customWidth="1"/>
    <col min="773" max="789" width="9.140625" style="3" customWidth="1"/>
    <col min="790" max="1025" width="9" style="3"/>
    <col min="1026" max="1026" width="5.140625" style="3" customWidth="1"/>
    <col min="1027" max="1027" width="25.28515625" style="3" customWidth="1"/>
    <col min="1028" max="1028" width="11.85546875" style="3" customWidth="1"/>
    <col min="1029" max="1045" width="9.140625" style="3" customWidth="1"/>
    <col min="1046" max="1281" width="9" style="3"/>
    <col min="1282" max="1282" width="5.140625" style="3" customWidth="1"/>
    <col min="1283" max="1283" width="25.28515625" style="3" customWidth="1"/>
    <col min="1284" max="1284" width="11.85546875" style="3" customWidth="1"/>
    <col min="1285" max="1301" width="9.140625" style="3" customWidth="1"/>
    <col min="1302" max="1537" width="9" style="3"/>
    <col min="1538" max="1538" width="5.140625" style="3" customWidth="1"/>
    <col min="1539" max="1539" width="25.28515625" style="3" customWidth="1"/>
    <col min="1540" max="1540" width="11.85546875" style="3" customWidth="1"/>
    <col min="1541" max="1557" width="9.140625" style="3" customWidth="1"/>
    <col min="1558" max="1793" width="9" style="3"/>
    <col min="1794" max="1794" width="5.140625" style="3" customWidth="1"/>
    <col min="1795" max="1795" width="25.28515625" style="3" customWidth="1"/>
    <col min="1796" max="1796" width="11.85546875" style="3" customWidth="1"/>
    <col min="1797" max="1813" width="9.140625" style="3" customWidth="1"/>
    <col min="1814" max="2049" width="9" style="3"/>
    <col min="2050" max="2050" width="5.140625" style="3" customWidth="1"/>
    <col min="2051" max="2051" width="25.28515625" style="3" customWidth="1"/>
    <col min="2052" max="2052" width="11.85546875" style="3" customWidth="1"/>
    <col min="2053" max="2069" width="9.140625" style="3" customWidth="1"/>
    <col min="2070" max="2305" width="9" style="3"/>
    <col min="2306" max="2306" width="5.140625" style="3" customWidth="1"/>
    <col min="2307" max="2307" width="25.28515625" style="3" customWidth="1"/>
    <col min="2308" max="2308" width="11.85546875" style="3" customWidth="1"/>
    <col min="2309" max="2325" width="9.140625" style="3" customWidth="1"/>
    <col min="2326" max="2561" width="9" style="3"/>
    <col min="2562" max="2562" width="5.140625" style="3" customWidth="1"/>
    <col min="2563" max="2563" width="25.28515625" style="3" customWidth="1"/>
    <col min="2564" max="2564" width="11.85546875" style="3" customWidth="1"/>
    <col min="2565" max="2581" width="9.140625" style="3" customWidth="1"/>
    <col min="2582" max="2817" width="9" style="3"/>
    <col min="2818" max="2818" width="5.140625" style="3" customWidth="1"/>
    <col min="2819" max="2819" width="25.28515625" style="3" customWidth="1"/>
    <col min="2820" max="2820" width="11.85546875" style="3" customWidth="1"/>
    <col min="2821" max="2837" width="9.140625" style="3" customWidth="1"/>
    <col min="2838" max="3073" width="9" style="3"/>
    <col min="3074" max="3074" width="5.140625" style="3" customWidth="1"/>
    <col min="3075" max="3075" width="25.28515625" style="3" customWidth="1"/>
    <col min="3076" max="3076" width="11.85546875" style="3" customWidth="1"/>
    <col min="3077" max="3093" width="9.140625" style="3" customWidth="1"/>
    <col min="3094" max="3329" width="9" style="3"/>
    <col min="3330" max="3330" width="5.140625" style="3" customWidth="1"/>
    <col min="3331" max="3331" width="25.28515625" style="3" customWidth="1"/>
    <col min="3332" max="3332" width="11.85546875" style="3" customWidth="1"/>
    <col min="3333" max="3349" width="9.140625" style="3" customWidth="1"/>
    <col min="3350" max="3585" width="9" style="3"/>
    <col min="3586" max="3586" width="5.140625" style="3" customWidth="1"/>
    <col min="3587" max="3587" width="25.28515625" style="3" customWidth="1"/>
    <col min="3588" max="3588" width="11.85546875" style="3" customWidth="1"/>
    <col min="3589" max="3605" width="9.140625" style="3" customWidth="1"/>
    <col min="3606" max="3841" width="9" style="3"/>
    <col min="3842" max="3842" width="5.140625" style="3" customWidth="1"/>
    <col min="3843" max="3843" width="25.28515625" style="3" customWidth="1"/>
    <col min="3844" max="3844" width="11.85546875" style="3" customWidth="1"/>
    <col min="3845" max="3861" width="9.140625" style="3" customWidth="1"/>
    <col min="3862" max="4097" width="9" style="3"/>
    <col min="4098" max="4098" width="5.140625" style="3" customWidth="1"/>
    <col min="4099" max="4099" width="25.28515625" style="3" customWidth="1"/>
    <col min="4100" max="4100" width="11.85546875" style="3" customWidth="1"/>
    <col min="4101" max="4117" width="9.140625" style="3" customWidth="1"/>
    <col min="4118" max="4353" width="9" style="3"/>
    <col min="4354" max="4354" width="5.140625" style="3" customWidth="1"/>
    <col min="4355" max="4355" width="25.28515625" style="3" customWidth="1"/>
    <col min="4356" max="4356" width="11.85546875" style="3" customWidth="1"/>
    <col min="4357" max="4373" width="9.140625" style="3" customWidth="1"/>
    <col min="4374" max="4609" width="9" style="3"/>
    <col min="4610" max="4610" width="5.140625" style="3" customWidth="1"/>
    <col min="4611" max="4611" width="25.28515625" style="3" customWidth="1"/>
    <col min="4612" max="4612" width="11.85546875" style="3" customWidth="1"/>
    <col min="4613" max="4629" width="9.140625" style="3" customWidth="1"/>
    <col min="4630" max="4865" width="9" style="3"/>
    <col min="4866" max="4866" width="5.140625" style="3" customWidth="1"/>
    <col min="4867" max="4867" width="25.28515625" style="3" customWidth="1"/>
    <col min="4868" max="4868" width="11.85546875" style="3" customWidth="1"/>
    <col min="4869" max="4885" width="9.140625" style="3" customWidth="1"/>
    <col min="4886" max="5121" width="9" style="3"/>
    <col min="5122" max="5122" width="5.140625" style="3" customWidth="1"/>
    <col min="5123" max="5123" width="25.28515625" style="3" customWidth="1"/>
    <col min="5124" max="5124" width="11.85546875" style="3" customWidth="1"/>
    <col min="5125" max="5141" width="9.140625" style="3" customWidth="1"/>
    <col min="5142" max="5377" width="9" style="3"/>
    <col min="5378" max="5378" width="5.140625" style="3" customWidth="1"/>
    <col min="5379" max="5379" width="25.28515625" style="3" customWidth="1"/>
    <col min="5380" max="5380" width="11.85546875" style="3" customWidth="1"/>
    <col min="5381" max="5397" width="9.140625" style="3" customWidth="1"/>
    <col min="5398" max="5633" width="9" style="3"/>
    <col min="5634" max="5634" width="5.140625" style="3" customWidth="1"/>
    <col min="5635" max="5635" width="25.28515625" style="3" customWidth="1"/>
    <col min="5636" max="5636" width="11.85546875" style="3" customWidth="1"/>
    <col min="5637" max="5653" width="9.140625" style="3" customWidth="1"/>
    <col min="5654" max="5889" width="9" style="3"/>
    <col min="5890" max="5890" width="5.140625" style="3" customWidth="1"/>
    <col min="5891" max="5891" width="25.28515625" style="3" customWidth="1"/>
    <col min="5892" max="5892" width="11.85546875" style="3" customWidth="1"/>
    <col min="5893" max="5909" width="9.140625" style="3" customWidth="1"/>
    <col min="5910" max="6145" width="9" style="3"/>
    <col min="6146" max="6146" width="5.140625" style="3" customWidth="1"/>
    <col min="6147" max="6147" width="25.28515625" style="3" customWidth="1"/>
    <col min="6148" max="6148" width="11.85546875" style="3" customWidth="1"/>
    <col min="6149" max="6165" width="9.140625" style="3" customWidth="1"/>
    <col min="6166" max="6401" width="9" style="3"/>
    <col min="6402" max="6402" width="5.140625" style="3" customWidth="1"/>
    <col min="6403" max="6403" width="25.28515625" style="3" customWidth="1"/>
    <col min="6404" max="6404" width="11.85546875" style="3" customWidth="1"/>
    <col min="6405" max="6421" width="9.140625" style="3" customWidth="1"/>
    <col min="6422" max="6657" width="9" style="3"/>
    <col min="6658" max="6658" width="5.140625" style="3" customWidth="1"/>
    <col min="6659" max="6659" width="25.28515625" style="3" customWidth="1"/>
    <col min="6660" max="6660" width="11.85546875" style="3" customWidth="1"/>
    <col min="6661" max="6677" width="9.140625" style="3" customWidth="1"/>
    <col min="6678" max="6913" width="9" style="3"/>
    <col min="6914" max="6914" width="5.140625" style="3" customWidth="1"/>
    <col min="6915" max="6915" width="25.28515625" style="3" customWidth="1"/>
    <col min="6916" max="6916" width="11.85546875" style="3" customWidth="1"/>
    <col min="6917" max="6933" width="9.140625" style="3" customWidth="1"/>
    <col min="6934" max="7169" width="9" style="3"/>
    <col min="7170" max="7170" width="5.140625" style="3" customWidth="1"/>
    <col min="7171" max="7171" width="25.28515625" style="3" customWidth="1"/>
    <col min="7172" max="7172" width="11.85546875" style="3" customWidth="1"/>
    <col min="7173" max="7189" width="9.140625" style="3" customWidth="1"/>
    <col min="7190" max="7425" width="9" style="3"/>
    <col min="7426" max="7426" width="5.140625" style="3" customWidth="1"/>
    <col min="7427" max="7427" width="25.28515625" style="3" customWidth="1"/>
    <col min="7428" max="7428" width="11.85546875" style="3" customWidth="1"/>
    <col min="7429" max="7445" width="9.140625" style="3" customWidth="1"/>
    <col min="7446" max="7681" width="9" style="3"/>
    <col min="7682" max="7682" width="5.140625" style="3" customWidth="1"/>
    <col min="7683" max="7683" width="25.28515625" style="3" customWidth="1"/>
    <col min="7684" max="7684" width="11.85546875" style="3" customWidth="1"/>
    <col min="7685" max="7701" width="9.140625" style="3" customWidth="1"/>
    <col min="7702" max="7937" width="9" style="3"/>
    <col min="7938" max="7938" width="5.140625" style="3" customWidth="1"/>
    <col min="7939" max="7939" width="25.28515625" style="3" customWidth="1"/>
    <col min="7940" max="7940" width="11.85546875" style="3" customWidth="1"/>
    <col min="7941" max="7957" width="9.140625" style="3" customWidth="1"/>
    <col min="7958" max="8193" width="9" style="3"/>
    <col min="8194" max="8194" width="5.140625" style="3" customWidth="1"/>
    <col min="8195" max="8195" width="25.28515625" style="3" customWidth="1"/>
    <col min="8196" max="8196" width="11.85546875" style="3" customWidth="1"/>
    <col min="8197" max="8213" width="9.140625" style="3" customWidth="1"/>
    <col min="8214" max="8449" width="9" style="3"/>
    <col min="8450" max="8450" width="5.140625" style="3" customWidth="1"/>
    <col min="8451" max="8451" width="25.28515625" style="3" customWidth="1"/>
    <col min="8452" max="8452" width="11.85546875" style="3" customWidth="1"/>
    <col min="8453" max="8469" width="9.140625" style="3" customWidth="1"/>
    <col min="8470" max="8705" width="9" style="3"/>
    <col min="8706" max="8706" width="5.140625" style="3" customWidth="1"/>
    <col min="8707" max="8707" width="25.28515625" style="3" customWidth="1"/>
    <col min="8708" max="8708" width="11.85546875" style="3" customWidth="1"/>
    <col min="8709" max="8725" width="9.140625" style="3" customWidth="1"/>
    <col min="8726" max="8961" width="9" style="3"/>
    <col min="8962" max="8962" width="5.140625" style="3" customWidth="1"/>
    <col min="8963" max="8963" width="25.28515625" style="3" customWidth="1"/>
    <col min="8964" max="8964" width="11.85546875" style="3" customWidth="1"/>
    <col min="8965" max="8981" width="9.140625" style="3" customWidth="1"/>
    <col min="8982" max="9217" width="9" style="3"/>
    <col min="9218" max="9218" width="5.140625" style="3" customWidth="1"/>
    <col min="9219" max="9219" width="25.28515625" style="3" customWidth="1"/>
    <col min="9220" max="9220" width="11.85546875" style="3" customWidth="1"/>
    <col min="9221" max="9237" width="9.140625" style="3" customWidth="1"/>
    <col min="9238" max="9473" width="9" style="3"/>
    <col min="9474" max="9474" width="5.140625" style="3" customWidth="1"/>
    <col min="9475" max="9475" width="25.28515625" style="3" customWidth="1"/>
    <col min="9476" max="9476" width="11.85546875" style="3" customWidth="1"/>
    <col min="9477" max="9493" width="9.140625" style="3" customWidth="1"/>
    <col min="9494" max="9729" width="9" style="3"/>
    <col min="9730" max="9730" width="5.140625" style="3" customWidth="1"/>
    <col min="9731" max="9731" width="25.28515625" style="3" customWidth="1"/>
    <col min="9732" max="9732" width="11.85546875" style="3" customWidth="1"/>
    <col min="9733" max="9749" width="9.140625" style="3" customWidth="1"/>
    <col min="9750" max="9985" width="9" style="3"/>
    <col min="9986" max="9986" width="5.140625" style="3" customWidth="1"/>
    <col min="9987" max="9987" width="25.28515625" style="3" customWidth="1"/>
    <col min="9988" max="9988" width="11.85546875" style="3" customWidth="1"/>
    <col min="9989" max="10005" width="9.140625" style="3" customWidth="1"/>
    <col min="10006" max="10241" width="9" style="3"/>
    <col min="10242" max="10242" width="5.140625" style="3" customWidth="1"/>
    <col min="10243" max="10243" width="25.28515625" style="3" customWidth="1"/>
    <col min="10244" max="10244" width="11.85546875" style="3" customWidth="1"/>
    <col min="10245" max="10261" width="9.140625" style="3" customWidth="1"/>
    <col min="10262" max="10497" width="9" style="3"/>
    <col min="10498" max="10498" width="5.140625" style="3" customWidth="1"/>
    <col min="10499" max="10499" width="25.28515625" style="3" customWidth="1"/>
    <col min="10500" max="10500" width="11.85546875" style="3" customWidth="1"/>
    <col min="10501" max="10517" width="9.140625" style="3" customWidth="1"/>
    <col min="10518" max="10753" width="9" style="3"/>
    <col min="10754" max="10754" width="5.140625" style="3" customWidth="1"/>
    <col min="10755" max="10755" width="25.28515625" style="3" customWidth="1"/>
    <col min="10756" max="10756" width="11.85546875" style="3" customWidth="1"/>
    <col min="10757" max="10773" width="9.140625" style="3" customWidth="1"/>
    <col min="10774" max="11009" width="9" style="3"/>
    <col min="11010" max="11010" width="5.140625" style="3" customWidth="1"/>
    <col min="11011" max="11011" width="25.28515625" style="3" customWidth="1"/>
    <col min="11012" max="11012" width="11.85546875" style="3" customWidth="1"/>
    <col min="11013" max="11029" width="9.140625" style="3" customWidth="1"/>
    <col min="11030" max="11265" width="9" style="3"/>
    <col min="11266" max="11266" width="5.140625" style="3" customWidth="1"/>
    <col min="11267" max="11267" width="25.28515625" style="3" customWidth="1"/>
    <col min="11268" max="11268" width="11.85546875" style="3" customWidth="1"/>
    <col min="11269" max="11285" width="9.140625" style="3" customWidth="1"/>
    <col min="11286" max="11521" width="9" style="3"/>
    <col min="11522" max="11522" width="5.140625" style="3" customWidth="1"/>
    <col min="11523" max="11523" width="25.28515625" style="3" customWidth="1"/>
    <col min="11524" max="11524" width="11.85546875" style="3" customWidth="1"/>
    <col min="11525" max="11541" width="9.140625" style="3" customWidth="1"/>
    <col min="11542" max="11777" width="9" style="3"/>
    <col min="11778" max="11778" width="5.140625" style="3" customWidth="1"/>
    <col min="11779" max="11779" width="25.28515625" style="3" customWidth="1"/>
    <col min="11780" max="11780" width="11.85546875" style="3" customWidth="1"/>
    <col min="11781" max="11797" width="9.140625" style="3" customWidth="1"/>
    <col min="11798" max="12033" width="9" style="3"/>
    <col min="12034" max="12034" width="5.140625" style="3" customWidth="1"/>
    <col min="12035" max="12035" width="25.28515625" style="3" customWidth="1"/>
    <col min="12036" max="12036" width="11.85546875" style="3" customWidth="1"/>
    <col min="12037" max="12053" width="9.140625" style="3" customWidth="1"/>
    <col min="12054" max="12289" width="9" style="3"/>
    <col min="12290" max="12290" width="5.140625" style="3" customWidth="1"/>
    <col min="12291" max="12291" width="25.28515625" style="3" customWidth="1"/>
    <col min="12292" max="12292" width="11.85546875" style="3" customWidth="1"/>
    <col min="12293" max="12309" width="9.140625" style="3" customWidth="1"/>
    <col min="12310" max="12545" width="9" style="3"/>
    <col min="12546" max="12546" width="5.140625" style="3" customWidth="1"/>
    <col min="12547" max="12547" width="25.28515625" style="3" customWidth="1"/>
    <col min="12548" max="12548" width="11.85546875" style="3" customWidth="1"/>
    <col min="12549" max="12565" width="9.140625" style="3" customWidth="1"/>
    <col min="12566" max="12801" width="9" style="3"/>
    <col min="12802" max="12802" width="5.140625" style="3" customWidth="1"/>
    <col min="12803" max="12803" width="25.28515625" style="3" customWidth="1"/>
    <col min="12804" max="12804" width="11.85546875" style="3" customWidth="1"/>
    <col min="12805" max="12821" width="9.140625" style="3" customWidth="1"/>
    <col min="12822" max="13057" width="9" style="3"/>
    <col min="13058" max="13058" width="5.140625" style="3" customWidth="1"/>
    <col min="13059" max="13059" width="25.28515625" style="3" customWidth="1"/>
    <col min="13060" max="13060" width="11.85546875" style="3" customWidth="1"/>
    <col min="13061" max="13077" width="9.140625" style="3" customWidth="1"/>
    <col min="13078" max="13313" width="9" style="3"/>
    <col min="13314" max="13314" width="5.140625" style="3" customWidth="1"/>
    <col min="13315" max="13315" width="25.28515625" style="3" customWidth="1"/>
    <col min="13316" max="13316" width="11.85546875" style="3" customWidth="1"/>
    <col min="13317" max="13333" width="9.140625" style="3" customWidth="1"/>
    <col min="13334" max="13569" width="9" style="3"/>
    <col min="13570" max="13570" width="5.140625" style="3" customWidth="1"/>
    <col min="13571" max="13571" width="25.28515625" style="3" customWidth="1"/>
    <col min="13572" max="13572" width="11.85546875" style="3" customWidth="1"/>
    <col min="13573" max="13589" width="9.140625" style="3" customWidth="1"/>
    <col min="13590" max="13825" width="9" style="3"/>
    <col min="13826" max="13826" width="5.140625" style="3" customWidth="1"/>
    <col min="13827" max="13827" width="25.28515625" style="3" customWidth="1"/>
    <col min="13828" max="13828" width="11.85546875" style="3" customWidth="1"/>
    <col min="13829" max="13845" width="9.140625" style="3" customWidth="1"/>
    <col min="13846" max="14081" width="9" style="3"/>
    <col min="14082" max="14082" width="5.140625" style="3" customWidth="1"/>
    <col min="14083" max="14083" width="25.28515625" style="3" customWidth="1"/>
    <col min="14084" max="14084" width="11.85546875" style="3" customWidth="1"/>
    <col min="14085" max="14101" width="9.140625" style="3" customWidth="1"/>
    <col min="14102" max="14337" width="9" style="3"/>
    <col min="14338" max="14338" width="5.140625" style="3" customWidth="1"/>
    <col min="14339" max="14339" width="25.28515625" style="3" customWidth="1"/>
    <col min="14340" max="14340" width="11.85546875" style="3" customWidth="1"/>
    <col min="14341" max="14357" width="9.140625" style="3" customWidth="1"/>
    <col min="14358" max="14593" width="9" style="3"/>
    <col min="14594" max="14594" width="5.140625" style="3" customWidth="1"/>
    <col min="14595" max="14595" width="25.28515625" style="3" customWidth="1"/>
    <col min="14596" max="14596" width="11.85546875" style="3" customWidth="1"/>
    <col min="14597" max="14613" width="9.140625" style="3" customWidth="1"/>
    <col min="14614" max="14849" width="9" style="3"/>
    <col min="14850" max="14850" width="5.140625" style="3" customWidth="1"/>
    <col min="14851" max="14851" width="25.28515625" style="3" customWidth="1"/>
    <col min="14852" max="14852" width="11.85546875" style="3" customWidth="1"/>
    <col min="14853" max="14869" width="9.140625" style="3" customWidth="1"/>
    <col min="14870" max="15105" width="9" style="3"/>
    <col min="15106" max="15106" width="5.140625" style="3" customWidth="1"/>
    <col min="15107" max="15107" width="25.28515625" style="3" customWidth="1"/>
    <col min="15108" max="15108" width="11.85546875" style="3" customWidth="1"/>
    <col min="15109" max="15125" width="9.140625" style="3" customWidth="1"/>
    <col min="15126" max="15361" width="9" style="3"/>
    <col min="15362" max="15362" width="5.140625" style="3" customWidth="1"/>
    <col min="15363" max="15363" width="25.28515625" style="3" customWidth="1"/>
    <col min="15364" max="15364" width="11.85546875" style="3" customWidth="1"/>
    <col min="15365" max="15381" width="9.140625" style="3" customWidth="1"/>
    <col min="15382" max="15617" width="9" style="3"/>
    <col min="15618" max="15618" width="5.140625" style="3" customWidth="1"/>
    <col min="15619" max="15619" width="25.28515625" style="3" customWidth="1"/>
    <col min="15620" max="15620" width="11.85546875" style="3" customWidth="1"/>
    <col min="15621" max="15637" width="9.140625" style="3" customWidth="1"/>
    <col min="15638" max="15873" width="9" style="3"/>
    <col min="15874" max="15874" width="5.140625" style="3" customWidth="1"/>
    <col min="15875" max="15875" width="25.28515625" style="3" customWidth="1"/>
    <col min="15876" max="15876" width="11.85546875" style="3" customWidth="1"/>
    <col min="15877" max="15893" width="9.140625" style="3" customWidth="1"/>
    <col min="15894" max="16129" width="9" style="3"/>
    <col min="16130" max="16130" width="5.140625" style="3" customWidth="1"/>
    <col min="16131" max="16131" width="25.28515625" style="3" customWidth="1"/>
    <col min="16132" max="16132" width="11.85546875" style="3" customWidth="1"/>
    <col min="16133" max="16149" width="9.140625" style="3" customWidth="1"/>
    <col min="16150" max="16384" width="9" style="3"/>
  </cols>
  <sheetData>
    <row r="1" spans="1:23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"/>
      <c r="W1" s="1"/>
    </row>
    <row r="2" spans="1:23" ht="166.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3" x14ac:dyDescent="0.25">
      <c r="A3" s="133" t="s">
        <v>4</v>
      </c>
      <c r="B3" s="19" t="s">
        <v>151</v>
      </c>
      <c r="C3" s="19" t="s">
        <v>59</v>
      </c>
      <c r="D3" s="19"/>
      <c r="E3" s="16"/>
      <c r="F3" s="25"/>
      <c r="G3" s="25"/>
      <c r="H3" s="16"/>
      <c r="I3" s="16"/>
      <c r="J3" s="16"/>
      <c r="K3" s="16">
        <f>100-(33.02-33.02)/33.023*50</f>
        <v>100</v>
      </c>
      <c r="L3" s="16">
        <f>100-(58.07-58.07)/58.07*50</f>
        <v>100</v>
      </c>
      <c r="M3" s="16"/>
      <c r="N3" s="16"/>
      <c r="O3" s="16">
        <f>100-(29.58-20.58)/20.58*50</f>
        <v>78.134110787172006</v>
      </c>
      <c r="P3" s="16">
        <f>100-(91.78-76.67)/76.67*50</f>
        <v>90.146080605191074</v>
      </c>
      <c r="Q3" s="16">
        <f>100-(62.43-62.43)/62.43*50</f>
        <v>100</v>
      </c>
      <c r="R3" s="16">
        <f>100-(78.73-78.73)/78.73*50</f>
        <v>100</v>
      </c>
      <c r="S3" s="16">
        <f>100-(107.55-107.55)/107.55*50</f>
        <v>100</v>
      </c>
      <c r="T3" s="16">
        <f>100-(105.53-105.53)/105.53*50</f>
        <v>100</v>
      </c>
      <c r="U3" s="134">
        <f t="shared" ref="U3:U9" si="0">SUM(D3:T3)</f>
        <v>768.28019139236312</v>
      </c>
    </row>
    <row r="4" spans="1:23" x14ac:dyDescent="0.25">
      <c r="A4" s="133" t="s">
        <v>6</v>
      </c>
      <c r="B4" s="19" t="s">
        <v>48</v>
      </c>
      <c r="C4" s="19" t="s">
        <v>100</v>
      </c>
      <c r="D4" s="16">
        <f>100-(113.03-65.88)/65.88*50</f>
        <v>64.215239829993919</v>
      </c>
      <c r="E4" s="16">
        <f>100-(132.17-75.08)/75.08*50</f>
        <v>61.980554075652641</v>
      </c>
      <c r="F4" s="16"/>
      <c r="G4" s="16"/>
      <c r="H4" s="16">
        <f>100-(89.65-88.25)/88.25*50</f>
        <v>99.206798866855522</v>
      </c>
      <c r="I4" s="16">
        <f>100-(40.47-28.15)/28.15*50</f>
        <v>78.117229129662519</v>
      </c>
      <c r="J4" s="16">
        <f>100-(161.17-128.93)/128.93*50</f>
        <v>87.497091444970152</v>
      </c>
      <c r="K4" s="16"/>
      <c r="L4" s="16"/>
      <c r="M4" s="16"/>
      <c r="N4" s="50"/>
      <c r="O4" s="16"/>
      <c r="P4" s="16"/>
      <c r="Q4" s="16"/>
      <c r="R4" s="16"/>
      <c r="S4" s="16">
        <f>100-(145.05-107.55)/107.55*50</f>
        <v>82.566248256624817</v>
      </c>
      <c r="T4" s="16">
        <f>100-(145.47-105.53)/105.53*50</f>
        <v>81.076471145645797</v>
      </c>
      <c r="U4" s="134">
        <f t="shared" si="0"/>
        <v>554.65963274940532</v>
      </c>
    </row>
    <row r="5" spans="1:23" x14ac:dyDescent="0.25">
      <c r="A5" s="133" t="s">
        <v>8</v>
      </c>
      <c r="B5" s="19" t="s">
        <v>32</v>
      </c>
      <c r="C5" s="19" t="s">
        <v>28</v>
      </c>
      <c r="D5" s="16">
        <f>100-(65.88-65.88)/65.88*50</f>
        <v>100</v>
      </c>
      <c r="E5" s="16">
        <f>100-(75.08-75.08)/75.08*50</f>
        <v>100</v>
      </c>
      <c r="F5" s="16"/>
      <c r="G5" s="16"/>
      <c r="H5" s="16"/>
      <c r="I5" s="16"/>
      <c r="J5" s="16"/>
      <c r="K5" s="16"/>
      <c r="L5" s="16"/>
      <c r="M5" s="16"/>
      <c r="N5" s="16"/>
      <c r="O5" s="16">
        <f>100-(20.58-20.58)/20.58*50</f>
        <v>100</v>
      </c>
      <c r="P5" s="16">
        <f>100-(94-76.67)/76.67*50</f>
        <v>88.698317464458071</v>
      </c>
      <c r="Q5" s="16"/>
      <c r="R5" s="16"/>
      <c r="S5" s="16"/>
      <c r="T5" s="16"/>
      <c r="U5" s="134">
        <f t="shared" si="0"/>
        <v>388.69831746445806</v>
      </c>
    </row>
    <row r="6" spans="1:23" x14ac:dyDescent="0.25">
      <c r="A6" s="133" t="s">
        <v>11</v>
      </c>
      <c r="B6" s="19" t="s">
        <v>136</v>
      </c>
      <c r="C6" s="19" t="s">
        <v>119</v>
      </c>
      <c r="D6" s="16"/>
      <c r="E6" s="16"/>
      <c r="F6" s="16"/>
      <c r="G6" s="50"/>
      <c r="H6" s="16">
        <f>100-(88.25-88.25)/88.25*50</f>
        <v>100</v>
      </c>
      <c r="I6" s="16">
        <f>100-(28.15-28.15)/28.15*50</f>
        <v>100</v>
      </c>
      <c r="J6" s="16">
        <f>100-(128.93-128.93)/128.93*50</f>
        <v>100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34">
        <f t="shared" si="0"/>
        <v>300</v>
      </c>
    </row>
    <row r="7" spans="1:23" x14ac:dyDescent="0.25">
      <c r="A7" s="133" t="s">
        <v>13</v>
      </c>
      <c r="B7" s="19" t="s">
        <v>173</v>
      </c>
      <c r="C7" s="19" t="s">
        <v>165</v>
      </c>
      <c r="D7" s="16"/>
      <c r="E7" s="16"/>
      <c r="F7" s="25"/>
      <c r="G7" s="25"/>
      <c r="H7" s="16"/>
      <c r="I7" s="16"/>
      <c r="J7" s="16"/>
      <c r="K7" s="16"/>
      <c r="L7" s="16"/>
      <c r="M7" s="16"/>
      <c r="N7" s="16"/>
      <c r="O7" s="16">
        <f>100-(32.9-20.58)/20.58*50</f>
        <v>70.068027210884352</v>
      </c>
      <c r="P7" s="16">
        <f>100-(76.67-76.67)/76.67*50</f>
        <v>100</v>
      </c>
      <c r="Q7" s="16"/>
      <c r="R7" s="16"/>
      <c r="S7" s="16"/>
      <c r="T7" s="16"/>
      <c r="U7" s="134">
        <f t="shared" si="0"/>
        <v>170.06802721088434</v>
      </c>
    </row>
    <row r="8" spans="1:23" x14ac:dyDescent="0.25">
      <c r="A8" s="133" t="s">
        <v>15</v>
      </c>
      <c r="B8" s="19" t="s">
        <v>47</v>
      </c>
      <c r="C8" s="19" t="s">
        <v>42</v>
      </c>
      <c r="D8" s="19"/>
      <c r="E8" s="16"/>
      <c r="F8" s="25"/>
      <c r="G8" s="25"/>
      <c r="H8" s="16"/>
      <c r="I8" s="16"/>
      <c r="J8" s="16">
        <f>100-(141.68-128.93)/128.93*50</f>
        <v>95.055456449236019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34">
        <f t="shared" si="0"/>
        <v>95.055456449236019</v>
      </c>
    </row>
    <row r="9" spans="1:23" x14ac:dyDescent="0.25">
      <c r="A9" s="133" t="s">
        <v>17</v>
      </c>
      <c r="B9" s="19" t="s">
        <v>174</v>
      </c>
      <c r="C9" s="19" t="s">
        <v>165</v>
      </c>
      <c r="D9" s="19"/>
      <c r="E9" s="19"/>
      <c r="F9" s="16"/>
      <c r="G9" s="16"/>
      <c r="H9" s="16"/>
      <c r="I9" s="16"/>
      <c r="J9" s="16"/>
      <c r="K9" s="16"/>
      <c r="L9" s="16"/>
      <c r="M9" s="19"/>
      <c r="N9" s="19"/>
      <c r="O9" s="16">
        <f>100-(35.37-20.58)/20.58*50</f>
        <v>64.067055393586003</v>
      </c>
      <c r="P9" s="19"/>
      <c r="Q9" s="19"/>
      <c r="R9" s="19"/>
      <c r="S9" s="19"/>
      <c r="T9" s="19"/>
      <c r="U9" s="134">
        <f t="shared" si="0"/>
        <v>64.067055393586003</v>
      </c>
    </row>
    <row r="10" spans="1:23" s="39" customFormat="1" x14ac:dyDescent="0.25">
      <c r="A10" s="39" t="s">
        <v>26</v>
      </c>
    </row>
    <row r="11" spans="1:23" s="40" customFormat="1" x14ac:dyDescent="0.25">
      <c r="A11" s="40" t="s">
        <v>27</v>
      </c>
    </row>
  </sheetData>
  <sortState ref="B3:V9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zoomScaleNormal="100" workbookViewId="0">
      <selection activeCell="A2" sqref="A2:U17"/>
    </sheetView>
  </sheetViews>
  <sheetFormatPr defaultColWidth="9" defaultRowHeight="15" x14ac:dyDescent="0.25"/>
  <cols>
    <col min="1" max="1" width="4.85546875" style="3" customWidth="1"/>
    <col min="2" max="2" width="17.140625" style="3" customWidth="1"/>
    <col min="3" max="3" width="15.42578125" style="3" customWidth="1"/>
    <col min="4" max="5" width="9.140625" style="3" customWidth="1"/>
    <col min="6" max="6" width="9.140625" style="41" customWidth="1"/>
    <col min="7" max="21" width="9.140625" style="3" customWidth="1"/>
    <col min="22" max="24" width="9" style="2"/>
    <col min="25" max="257" width="9" style="3"/>
    <col min="258" max="258" width="4.85546875" style="3" customWidth="1"/>
    <col min="259" max="259" width="17.85546875" style="3" customWidth="1"/>
    <col min="260" max="260" width="18.140625" style="3" customWidth="1"/>
    <col min="261" max="277" width="9.140625" style="3" customWidth="1"/>
    <col min="278" max="513" width="9" style="3"/>
    <col min="514" max="514" width="4.85546875" style="3" customWidth="1"/>
    <col min="515" max="515" width="17.85546875" style="3" customWidth="1"/>
    <col min="516" max="516" width="18.140625" style="3" customWidth="1"/>
    <col min="517" max="533" width="9.140625" style="3" customWidth="1"/>
    <col min="534" max="769" width="9" style="3"/>
    <col min="770" max="770" width="4.85546875" style="3" customWidth="1"/>
    <col min="771" max="771" width="17.85546875" style="3" customWidth="1"/>
    <col min="772" max="772" width="18.140625" style="3" customWidth="1"/>
    <col min="773" max="789" width="9.140625" style="3" customWidth="1"/>
    <col min="790" max="1025" width="9" style="3"/>
    <col min="1026" max="1026" width="4.85546875" style="3" customWidth="1"/>
    <col min="1027" max="1027" width="17.85546875" style="3" customWidth="1"/>
    <col min="1028" max="1028" width="18.140625" style="3" customWidth="1"/>
    <col min="1029" max="1045" width="9.140625" style="3" customWidth="1"/>
    <col min="1046" max="1281" width="9" style="3"/>
    <col min="1282" max="1282" width="4.85546875" style="3" customWidth="1"/>
    <col min="1283" max="1283" width="17.85546875" style="3" customWidth="1"/>
    <col min="1284" max="1284" width="18.140625" style="3" customWidth="1"/>
    <col min="1285" max="1301" width="9.140625" style="3" customWidth="1"/>
    <col min="1302" max="1537" width="9" style="3"/>
    <col min="1538" max="1538" width="4.85546875" style="3" customWidth="1"/>
    <col min="1539" max="1539" width="17.85546875" style="3" customWidth="1"/>
    <col min="1540" max="1540" width="18.140625" style="3" customWidth="1"/>
    <col min="1541" max="1557" width="9.140625" style="3" customWidth="1"/>
    <col min="1558" max="1793" width="9" style="3"/>
    <col min="1794" max="1794" width="4.85546875" style="3" customWidth="1"/>
    <col min="1795" max="1795" width="17.85546875" style="3" customWidth="1"/>
    <col min="1796" max="1796" width="18.140625" style="3" customWidth="1"/>
    <col min="1797" max="1813" width="9.140625" style="3" customWidth="1"/>
    <col min="1814" max="2049" width="9" style="3"/>
    <col min="2050" max="2050" width="4.85546875" style="3" customWidth="1"/>
    <col min="2051" max="2051" width="17.85546875" style="3" customWidth="1"/>
    <col min="2052" max="2052" width="18.140625" style="3" customWidth="1"/>
    <col min="2053" max="2069" width="9.140625" style="3" customWidth="1"/>
    <col min="2070" max="2305" width="9" style="3"/>
    <col min="2306" max="2306" width="4.85546875" style="3" customWidth="1"/>
    <col min="2307" max="2307" width="17.85546875" style="3" customWidth="1"/>
    <col min="2308" max="2308" width="18.140625" style="3" customWidth="1"/>
    <col min="2309" max="2325" width="9.140625" style="3" customWidth="1"/>
    <col min="2326" max="2561" width="9" style="3"/>
    <col min="2562" max="2562" width="4.85546875" style="3" customWidth="1"/>
    <col min="2563" max="2563" width="17.85546875" style="3" customWidth="1"/>
    <col min="2564" max="2564" width="18.140625" style="3" customWidth="1"/>
    <col min="2565" max="2581" width="9.140625" style="3" customWidth="1"/>
    <col min="2582" max="2817" width="9" style="3"/>
    <col min="2818" max="2818" width="4.85546875" style="3" customWidth="1"/>
    <col min="2819" max="2819" width="17.85546875" style="3" customWidth="1"/>
    <col min="2820" max="2820" width="18.140625" style="3" customWidth="1"/>
    <col min="2821" max="2837" width="9.140625" style="3" customWidth="1"/>
    <col min="2838" max="3073" width="9" style="3"/>
    <col min="3074" max="3074" width="4.85546875" style="3" customWidth="1"/>
    <col min="3075" max="3075" width="17.85546875" style="3" customWidth="1"/>
    <col min="3076" max="3076" width="18.140625" style="3" customWidth="1"/>
    <col min="3077" max="3093" width="9.140625" style="3" customWidth="1"/>
    <col min="3094" max="3329" width="9" style="3"/>
    <col min="3330" max="3330" width="4.85546875" style="3" customWidth="1"/>
    <col min="3331" max="3331" width="17.85546875" style="3" customWidth="1"/>
    <col min="3332" max="3332" width="18.140625" style="3" customWidth="1"/>
    <col min="3333" max="3349" width="9.140625" style="3" customWidth="1"/>
    <col min="3350" max="3585" width="9" style="3"/>
    <col min="3586" max="3586" width="4.85546875" style="3" customWidth="1"/>
    <col min="3587" max="3587" width="17.85546875" style="3" customWidth="1"/>
    <col min="3588" max="3588" width="18.140625" style="3" customWidth="1"/>
    <col min="3589" max="3605" width="9.140625" style="3" customWidth="1"/>
    <col min="3606" max="3841" width="9" style="3"/>
    <col min="3842" max="3842" width="4.85546875" style="3" customWidth="1"/>
    <col min="3843" max="3843" width="17.85546875" style="3" customWidth="1"/>
    <col min="3844" max="3844" width="18.140625" style="3" customWidth="1"/>
    <col min="3845" max="3861" width="9.140625" style="3" customWidth="1"/>
    <col min="3862" max="4097" width="9" style="3"/>
    <col min="4098" max="4098" width="4.85546875" style="3" customWidth="1"/>
    <col min="4099" max="4099" width="17.85546875" style="3" customWidth="1"/>
    <col min="4100" max="4100" width="18.140625" style="3" customWidth="1"/>
    <col min="4101" max="4117" width="9.140625" style="3" customWidth="1"/>
    <col min="4118" max="4353" width="9" style="3"/>
    <col min="4354" max="4354" width="4.85546875" style="3" customWidth="1"/>
    <col min="4355" max="4355" width="17.85546875" style="3" customWidth="1"/>
    <col min="4356" max="4356" width="18.140625" style="3" customWidth="1"/>
    <col min="4357" max="4373" width="9.140625" style="3" customWidth="1"/>
    <col min="4374" max="4609" width="9" style="3"/>
    <col min="4610" max="4610" width="4.85546875" style="3" customWidth="1"/>
    <col min="4611" max="4611" width="17.85546875" style="3" customWidth="1"/>
    <col min="4612" max="4612" width="18.140625" style="3" customWidth="1"/>
    <col min="4613" max="4629" width="9.140625" style="3" customWidth="1"/>
    <col min="4630" max="4865" width="9" style="3"/>
    <col min="4866" max="4866" width="4.85546875" style="3" customWidth="1"/>
    <col min="4867" max="4867" width="17.85546875" style="3" customWidth="1"/>
    <col min="4868" max="4868" width="18.140625" style="3" customWidth="1"/>
    <col min="4869" max="4885" width="9.140625" style="3" customWidth="1"/>
    <col min="4886" max="5121" width="9" style="3"/>
    <col min="5122" max="5122" width="4.85546875" style="3" customWidth="1"/>
    <col min="5123" max="5123" width="17.85546875" style="3" customWidth="1"/>
    <col min="5124" max="5124" width="18.140625" style="3" customWidth="1"/>
    <col min="5125" max="5141" width="9.140625" style="3" customWidth="1"/>
    <col min="5142" max="5377" width="9" style="3"/>
    <col min="5378" max="5378" width="4.85546875" style="3" customWidth="1"/>
    <col min="5379" max="5379" width="17.85546875" style="3" customWidth="1"/>
    <col min="5380" max="5380" width="18.140625" style="3" customWidth="1"/>
    <col min="5381" max="5397" width="9.140625" style="3" customWidth="1"/>
    <col min="5398" max="5633" width="9" style="3"/>
    <col min="5634" max="5634" width="4.85546875" style="3" customWidth="1"/>
    <col min="5635" max="5635" width="17.85546875" style="3" customWidth="1"/>
    <col min="5636" max="5636" width="18.140625" style="3" customWidth="1"/>
    <col min="5637" max="5653" width="9.140625" style="3" customWidth="1"/>
    <col min="5654" max="5889" width="9" style="3"/>
    <col min="5890" max="5890" width="4.85546875" style="3" customWidth="1"/>
    <col min="5891" max="5891" width="17.85546875" style="3" customWidth="1"/>
    <col min="5892" max="5892" width="18.140625" style="3" customWidth="1"/>
    <col min="5893" max="5909" width="9.140625" style="3" customWidth="1"/>
    <col min="5910" max="6145" width="9" style="3"/>
    <col min="6146" max="6146" width="4.85546875" style="3" customWidth="1"/>
    <col min="6147" max="6147" width="17.85546875" style="3" customWidth="1"/>
    <col min="6148" max="6148" width="18.140625" style="3" customWidth="1"/>
    <col min="6149" max="6165" width="9.140625" style="3" customWidth="1"/>
    <col min="6166" max="6401" width="9" style="3"/>
    <col min="6402" max="6402" width="4.85546875" style="3" customWidth="1"/>
    <col min="6403" max="6403" width="17.85546875" style="3" customWidth="1"/>
    <col min="6404" max="6404" width="18.140625" style="3" customWidth="1"/>
    <col min="6405" max="6421" width="9.140625" style="3" customWidth="1"/>
    <col min="6422" max="6657" width="9" style="3"/>
    <col min="6658" max="6658" width="4.85546875" style="3" customWidth="1"/>
    <col min="6659" max="6659" width="17.85546875" style="3" customWidth="1"/>
    <col min="6660" max="6660" width="18.140625" style="3" customWidth="1"/>
    <col min="6661" max="6677" width="9.140625" style="3" customWidth="1"/>
    <col min="6678" max="6913" width="9" style="3"/>
    <col min="6914" max="6914" width="4.85546875" style="3" customWidth="1"/>
    <col min="6915" max="6915" width="17.85546875" style="3" customWidth="1"/>
    <col min="6916" max="6916" width="18.140625" style="3" customWidth="1"/>
    <col min="6917" max="6933" width="9.140625" style="3" customWidth="1"/>
    <col min="6934" max="7169" width="9" style="3"/>
    <col min="7170" max="7170" width="4.85546875" style="3" customWidth="1"/>
    <col min="7171" max="7171" width="17.85546875" style="3" customWidth="1"/>
    <col min="7172" max="7172" width="18.140625" style="3" customWidth="1"/>
    <col min="7173" max="7189" width="9.140625" style="3" customWidth="1"/>
    <col min="7190" max="7425" width="9" style="3"/>
    <col min="7426" max="7426" width="4.85546875" style="3" customWidth="1"/>
    <col min="7427" max="7427" width="17.85546875" style="3" customWidth="1"/>
    <col min="7428" max="7428" width="18.140625" style="3" customWidth="1"/>
    <col min="7429" max="7445" width="9.140625" style="3" customWidth="1"/>
    <col min="7446" max="7681" width="9" style="3"/>
    <col min="7682" max="7682" width="4.85546875" style="3" customWidth="1"/>
    <col min="7683" max="7683" width="17.85546875" style="3" customWidth="1"/>
    <col min="7684" max="7684" width="18.140625" style="3" customWidth="1"/>
    <col min="7685" max="7701" width="9.140625" style="3" customWidth="1"/>
    <col min="7702" max="7937" width="9" style="3"/>
    <col min="7938" max="7938" width="4.85546875" style="3" customWidth="1"/>
    <col min="7939" max="7939" width="17.85546875" style="3" customWidth="1"/>
    <col min="7940" max="7940" width="18.140625" style="3" customWidth="1"/>
    <col min="7941" max="7957" width="9.140625" style="3" customWidth="1"/>
    <col min="7958" max="8193" width="9" style="3"/>
    <col min="8194" max="8194" width="4.85546875" style="3" customWidth="1"/>
    <col min="8195" max="8195" width="17.85546875" style="3" customWidth="1"/>
    <col min="8196" max="8196" width="18.140625" style="3" customWidth="1"/>
    <col min="8197" max="8213" width="9.140625" style="3" customWidth="1"/>
    <col min="8214" max="8449" width="9" style="3"/>
    <col min="8450" max="8450" width="4.85546875" style="3" customWidth="1"/>
    <col min="8451" max="8451" width="17.85546875" style="3" customWidth="1"/>
    <col min="8452" max="8452" width="18.140625" style="3" customWidth="1"/>
    <col min="8453" max="8469" width="9.140625" style="3" customWidth="1"/>
    <col min="8470" max="8705" width="9" style="3"/>
    <col min="8706" max="8706" width="4.85546875" style="3" customWidth="1"/>
    <col min="8707" max="8707" width="17.85546875" style="3" customWidth="1"/>
    <col min="8708" max="8708" width="18.140625" style="3" customWidth="1"/>
    <col min="8709" max="8725" width="9.140625" style="3" customWidth="1"/>
    <col min="8726" max="8961" width="9" style="3"/>
    <col min="8962" max="8962" width="4.85546875" style="3" customWidth="1"/>
    <col min="8963" max="8963" width="17.85546875" style="3" customWidth="1"/>
    <col min="8964" max="8964" width="18.140625" style="3" customWidth="1"/>
    <col min="8965" max="8981" width="9.140625" style="3" customWidth="1"/>
    <col min="8982" max="9217" width="9" style="3"/>
    <col min="9218" max="9218" width="4.85546875" style="3" customWidth="1"/>
    <col min="9219" max="9219" width="17.85546875" style="3" customWidth="1"/>
    <col min="9220" max="9220" width="18.140625" style="3" customWidth="1"/>
    <col min="9221" max="9237" width="9.140625" style="3" customWidth="1"/>
    <col min="9238" max="9473" width="9" style="3"/>
    <col min="9474" max="9474" width="4.85546875" style="3" customWidth="1"/>
    <col min="9475" max="9475" width="17.85546875" style="3" customWidth="1"/>
    <col min="9476" max="9476" width="18.140625" style="3" customWidth="1"/>
    <col min="9477" max="9493" width="9.140625" style="3" customWidth="1"/>
    <col min="9494" max="9729" width="9" style="3"/>
    <col min="9730" max="9730" width="4.85546875" style="3" customWidth="1"/>
    <col min="9731" max="9731" width="17.85546875" style="3" customWidth="1"/>
    <col min="9732" max="9732" width="18.140625" style="3" customWidth="1"/>
    <col min="9733" max="9749" width="9.140625" style="3" customWidth="1"/>
    <col min="9750" max="9985" width="9" style="3"/>
    <col min="9986" max="9986" width="4.85546875" style="3" customWidth="1"/>
    <col min="9987" max="9987" width="17.85546875" style="3" customWidth="1"/>
    <col min="9988" max="9988" width="18.140625" style="3" customWidth="1"/>
    <col min="9989" max="10005" width="9.140625" style="3" customWidth="1"/>
    <col min="10006" max="10241" width="9" style="3"/>
    <col min="10242" max="10242" width="4.85546875" style="3" customWidth="1"/>
    <col min="10243" max="10243" width="17.85546875" style="3" customWidth="1"/>
    <col min="10244" max="10244" width="18.140625" style="3" customWidth="1"/>
    <col min="10245" max="10261" width="9.140625" style="3" customWidth="1"/>
    <col min="10262" max="10497" width="9" style="3"/>
    <col min="10498" max="10498" width="4.85546875" style="3" customWidth="1"/>
    <col min="10499" max="10499" width="17.85546875" style="3" customWidth="1"/>
    <col min="10500" max="10500" width="18.140625" style="3" customWidth="1"/>
    <col min="10501" max="10517" width="9.140625" style="3" customWidth="1"/>
    <col min="10518" max="10753" width="9" style="3"/>
    <col min="10754" max="10754" width="4.85546875" style="3" customWidth="1"/>
    <col min="10755" max="10755" width="17.85546875" style="3" customWidth="1"/>
    <col min="10756" max="10756" width="18.140625" style="3" customWidth="1"/>
    <col min="10757" max="10773" width="9.140625" style="3" customWidth="1"/>
    <col min="10774" max="11009" width="9" style="3"/>
    <col min="11010" max="11010" width="4.85546875" style="3" customWidth="1"/>
    <col min="11011" max="11011" width="17.85546875" style="3" customWidth="1"/>
    <col min="11012" max="11012" width="18.140625" style="3" customWidth="1"/>
    <col min="11013" max="11029" width="9.140625" style="3" customWidth="1"/>
    <col min="11030" max="11265" width="9" style="3"/>
    <col min="11266" max="11266" width="4.85546875" style="3" customWidth="1"/>
    <col min="11267" max="11267" width="17.85546875" style="3" customWidth="1"/>
    <col min="11268" max="11268" width="18.140625" style="3" customWidth="1"/>
    <col min="11269" max="11285" width="9.140625" style="3" customWidth="1"/>
    <col min="11286" max="11521" width="9" style="3"/>
    <col min="11522" max="11522" width="4.85546875" style="3" customWidth="1"/>
    <col min="11523" max="11523" width="17.85546875" style="3" customWidth="1"/>
    <col min="11524" max="11524" width="18.140625" style="3" customWidth="1"/>
    <col min="11525" max="11541" width="9.140625" style="3" customWidth="1"/>
    <col min="11542" max="11777" width="9" style="3"/>
    <col min="11778" max="11778" width="4.85546875" style="3" customWidth="1"/>
    <col min="11779" max="11779" width="17.85546875" style="3" customWidth="1"/>
    <col min="11780" max="11780" width="18.140625" style="3" customWidth="1"/>
    <col min="11781" max="11797" width="9.140625" style="3" customWidth="1"/>
    <col min="11798" max="12033" width="9" style="3"/>
    <col min="12034" max="12034" width="4.85546875" style="3" customWidth="1"/>
    <col min="12035" max="12035" width="17.85546875" style="3" customWidth="1"/>
    <col min="12036" max="12036" width="18.140625" style="3" customWidth="1"/>
    <col min="12037" max="12053" width="9.140625" style="3" customWidth="1"/>
    <col min="12054" max="12289" width="9" style="3"/>
    <col min="12290" max="12290" width="4.85546875" style="3" customWidth="1"/>
    <col min="12291" max="12291" width="17.85546875" style="3" customWidth="1"/>
    <col min="12292" max="12292" width="18.140625" style="3" customWidth="1"/>
    <col min="12293" max="12309" width="9.140625" style="3" customWidth="1"/>
    <col min="12310" max="12545" width="9" style="3"/>
    <col min="12546" max="12546" width="4.85546875" style="3" customWidth="1"/>
    <col min="12547" max="12547" width="17.85546875" style="3" customWidth="1"/>
    <col min="12548" max="12548" width="18.140625" style="3" customWidth="1"/>
    <col min="12549" max="12565" width="9.140625" style="3" customWidth="1"/>
    <col min="12566" max="12801" width="9" style="3"/>
    <col min="12802" max="12802" width="4.85546875" style="3" customWidth="1"/>
    <col min="12803" max="12803" width="17.85546875" style="3" customWidth="1"/>
    <col min="12804" max="12804" width="18.140625" style="3" customWidth="1"/>
    <col min="12805" max="12821" width="9.140625" style="3" customWidth="1"/>
    <col min="12822" max="13057" width="9" style="3"/>
    <col min="13058" max="13058" width="4.85546875" style="3" customWidth="1"/>
    <col min="13059" max="13059" width="17.85546875" style="3" customWidth="1"/>
    <col min="13060" max="13060" width="18.140625" style="3" customWidth="1"/>
    <col min="13061" max="13077" width="9.140625" style="3" customWidth="1"/>
    <col min="13078" max="13313" width="9" style="3"/>
    <col min="13314" max="13314" width="4.85546875" style="3" customWidth="1"/>
    <col min="13315" max="13315" width="17.85546875" style="3" customWidth="1"/>
    <col min="13316" max="13316" width="18.140625" style="3" customWidth="1"/>
    <col min="13317" max="13333" width="9.140625" style="3" customWidth="1"/>
    <col min="13334" max="13569" width="9" style="3"/>
    <col min="13570" max="13570" width="4.85546875" style="3" customWidth="1"/>
    <col min="13571" max="13571" width="17.85546875" style="3" customWidth="1"/>
    <col min="13572" max="13572" width="18.140625" style="3" customWidth="1"/>
    <col min="13573" max="13589" width="9.140625" style="3" customWidth="1"/>
    <col min="13590" max="13825" width="9" style="3"/>
    <col min="13826" max="13826" width="4.85546875" style="3" customWidth="1"/>
    <col min="13827" max="13827" width="17.85546875" style="3" customWidth="1"/>
    <col min="13828" max="13828" width="18.140625" style="3" customWidth="1"/>
    <col min="13829" max="13845" width="9.140625" style="3" customWidth="1"/>
    <col min="13846" max="14081" width="9" style="3"/>
    <col min="14082" max="14082" width="4.85546875" style="3" customWidth="1"/>
    <col min="14083" max="14083" width="17.85546875" style="3" customWidth="1"/>
    <col min="14084" max="14084" width="18.140625" style="3" customWidth="1"/>
    <col min="14085" max="14101" width="9.140625" style="3" customWidth="1"/>
    <col min="14102" max="14337" width="9" style="3"/>
    <col min="14338" max="14338" width="4.85546875" style="3" customWidth="1"/>
    <col min="14339" max="14339" width="17.85546875" style="3" customWidth="1"/>
    <col min="14340" max="14340" width="18.140625" style="3" customWidth="1"/>
    <col min="14341" max="14357" width="9.140625" style="3" customWidth="1"/>
    <col min="14358" max="14593" width="9" style="3"/>
    <col min="14594" max="14594" width="4.85546875" style="3" customWidth="1"/>
    <col min="14595" max="14595" width="17.85546875" style="3" customWidth="1"/>
    <col min="14596" max="14596" width="18.140625" style="3" customWidth="1"/>
    <col min="14597" max="14613" width="9.140625" style="3" customWidth="1"/>
    <col min="14614" max="14849" width="9" style="3"/>
    <col min="14850" max="14850" width="4.85546875" style="3" customWidth="1"/>
    <col min="14851" max="14851" width="17.85546875" style="3" customWidth="1"/>
    <col min="14852" max="14852" width="18.140625" style="3" customWidth="1"/>
    <col min="14853" max="14869" width="9.140625" style="3" customWidth="1"/>
    <col min="14870" max="15105" width="9" style="3"/>
    <col min="15106" max="15106" width="4.85546875" style="3" customWidth="1"/>
    <col min="15107" max="15107" width="17.85546875" style="3" customWidth="1"/>
    <col min="15108" max="15108" width="18.140625" style="3" customWidth="1"/>
    <col min="15109" max="15125" width="9.140625" style="3" customWidth="1"/>
    <col min="15126" max="15361" width="9" style="3"/>
    <col min="15362" max="15362" width="4.85546875" style="3" customWidth="1"/>
    <col min="15363" max="15363" width="17.85546875" style="3" customWidth="1"/>
    <col min="15364" max="15364" width="18.140625" style="3" customWidth="1"/>
    <col min="15365" max="15381" width="9.140625" style="3" customWidth="1"/>
    <col min="15382" max="15617" width="9" style="3"/>
    <col min="15618" max="15618" width="4.85546875" style="3" customWidth="1"/>
    <col min="15619" max="15619" width="17.85546875" style="3" customWidth="1"/>
    <col min="15620" max="15620" width="18.140625" style="3" customWidth="1"/>
    <col min="15621" max="15637" width="9.140625" style="3" customWidth="1"/>
    <col min="15638" max="15873" width="9" style="3"/>
    <col min="15874" max="15874" width="4.85546875" style="3" customWidth="1"/>
    <col min="15875" max="15875" width="17.85546875" style="3" customWidth="1"/>
    <col min="15876" max="15876" width="18.140625" style="3" customWidth="1"/>
    <col min="15877" max="15893" width="9.140625" style="3" customWidth="1"/>
    <col min="15894" max="16129" width="9" style="3"/>
    <col min="16130" max="16130" width="4.85546875" style="3" customWidth="1"/>
    <col min="16131" max="16131" width="17.85546875" style="3" customWidth="1"/>
    <col min="16132" max="16132" width="18.140625" style="3" customWidth="1"/>
    <col min="16133" max="16149" width="9.140625" style="3" customWidth="1"/>
    <col min="16150" max="16384" width="9" style="3"/>
  </cols>
  <sheetData>
    <row r="1" spans="1:24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"/>
      <c r="W1" s="1"/>
    </row>
    <row r="2" spans="1:24" ht="182.2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4" x14ac:dyDescent="0.25">
      <c r="A3" s="133" t="s">
        <v>4</v>
      </c>
      <c r="B3" s="19" t="s">
        <v>22</v>
      </c>
      <c r="C3" s="19" t="s">
        <v>88</v>
      </c>
      <c r="D3" s="66" t="s">
        <v>12</v>
      </c>
      <c r="E3" s="16">
        <f>100-(107.8-91.6)/91.6*50</f>
        <v>91.157205240174676</v>
      </c>
      <c r="F3" s="16">
        <f>100-(57.28-57.28)/57.28*50</f>
        <v>100</v>
      </c>
      <c r="G3" s="16">
        <f>100-(80.23-80.23)/80.23*50</f>
        <v>100</v>
      </c>
      <c r="H3" s="16">
        <f>100-(65.18-65.18)/65.18*50</f>
        <v>100</v>
      </c>
      <c r="I3" s="16">
        <f>100-(23.83-23.83)/23.83*50</f>
        <v>100</v>
      </c>
      <c r="J3" s="16"/>
      <c r="K3" s="16"/>
      <c r="L3" s="16"/>
      <c r="M3" s="16"/>
      <c r="N3" s="16"/>
      <c r="O3" s="16">
        <f>100-(35.72-35.72)/35.72*50</f>
        <v>100</v>
      </c>
      <c r="P3" s="16"/>
      <c r="Q3" s="16">
        <f>100-(70.38-70.38)/70.38*50</f>
        <v>100</v>
      </c>
      <c r="R3" s="16">
        <f>100-(88.63-88.63)/88.63*50</f>
        <v>100</v>
      </c>
      <c r="S3" s="16"/>
      <c r="T3" s="16"/>
      <c r="U3" s="134">
        <f t="shared" ref="U3:U17" si="0">SUM(D3:T3)</f>
        <v>791.15720524017468</v>
      </c>
    </row>
    <row r="4" spans="1:24" x14ac:dyDescent="0.25">
      <c r="A4" s="133" t="s">
        <v>6</v>
      </c>
      <c r="B4" s="19" t="s">
        <v>66</v>
      </c>
      <c r="C4" s="19" t="s">
        <v>39</v>
      </c>
      <c r="D4" s="16">
        <f>100-(110.07-71.1)/71.1*50</f>
        <v>72.594936708860757</v>
      </c>
      <c r="E4" s="16">
        <f>100-(128.7-91.6)/91.6*50</f>
        <v>79.748908296943227</v>
      </c>
      <c r="F4" s="16"/>
      <c r="G4" s="16"/>
      <c r="H4" s="16"/>
      <c r="I4" s="16"/>
      <c r="J4" s="16"/>
      <c r="K4" s="16">
        <f>100-(45.17-38.92)/38.92*50</f>
        <v>91.970709146968147</v>
      </c>
      <c r="L4" s="16">
        <f>100-(76.4-71.93)/71.93*50</f>
        <v>96.892812456554992</v>
      </c>
      <c r="M4" s="16"/>
      <c r="N4" s="16"/>
      <c r="O4" s="16">
        <f>100-(68.2-35.72)/35.72*50</f>
        <v>54.535274356103017</v>
      </c>
      <c r="P4" s="16">
        <f>100-(68.82-63.47)/63.47*50</f>
        <v>95.785410430124472</v>
      </c>
      <c r="Q4" s="16"/>
      <c r="R4" s="16"/>
      <c r="S4" s="16"/>
      <c r="T4" s="16"/>
      <c r="U4" s="134">
        <f t="shared" si="0"/>
        <v>491.5280513955546</v>
      </c>
    </row>
    <row r="5" spans="1:24" x14ac:dyDescent="0.25">
      <c r="A5" s="133" t="s">
        <v>8</v>
      </c>
      <c r="B5" s="19" t="s">
        <v>55</v>
      </c>
      <c r="C5" s="19" t="s">
        <v>56</v>
      </c>
      <c r="D5" s="16">
        <f>100-(103.55-71.1)/71.1*50</f>
        <v>77.180028129395211</v>
      </c>
      <c r="E5" s="16">
        <f>100-(136.95-91.6)/91.6*50</f>
        <v>75.245633187772924</v>
      </c>
      <c r="F5" s="25"/>
      <c r="G5" s="16"/>
      <c r="H5" s="16"/>
      <c r="I5" s="74"/>
      <c r="J5" s="16"/>
      <c r="K5" s="16"/>
      <c r="L5" s="50"/>
      <c r="M5" s="16"/>
      <c r="N5" s="16"/>
      <c r="O5" s="16">
        <f>100-(69.68-35.72)/35.72*50</f>
        <v>52.463605823068299</v>
      </c>
      <c r="P5" s="16"/>
      <c r="Q5" s="16">
        <f>100-(95.4-70.38)/70.38*50</f>
        <v>82.225063938618916</v>
      </c>
      <c r="R5" s="16">
        <f>100-(114.8-88.63)/88.63*50</f>
        <v>85.236375944939638</v>
      </c>
      <c r="S5" s="16"/>
      <c r="T5" s="16"/>
      <c r="U5" s="134">
        <f t="shared" si="0"/>
        <v>372.350707023795</v>
      </c>
    </row>
    <row r="6" spans="1:24" x14ac:dyDescent="0.25">
      <c r="A6" s="133" t="s">
        <v>11</v>
      </c>
      <c r="B6" s="19" t="s">
        <v>40</v>
      </c>
      <c r="C6" s="19" t="s">
        <v>39</v>
      </c>
      <c r="D6" s="16"/>
      <c r="E6" s="16"/>
      <c r="F6" s="25"/>
      <c r="G6" s="16"/>
      <c r="H6" s="16"/>
      <c r="I6" s="16"/>
      <c r="J6" s="16"/>
      <c r="K6" s="16">
        <f>100-(62.85-38.92)/38.92*50</f>
        <v>69.25745118191162</v>
      </c>
      <c r="L6" s="16"/>
      <c r="M6" s="16"/>
      <c r="N6" s="16"/>
      <c r="O6" s="16">
        <f>100-(48.2-35.72)/35.72*50</f>
        <v>82.530795072788351</v>
      </c>
      <c r="P6" s="16">
        <f>100-(75.18-63.47)/63.47*50</f>
        <v>90.77516937135654</v>
      </c>
      <c r="Q6" s="16">
        <f>100-(115.18-70.38)/70.38*50</f>
        <v>68.17277635691957</v>
      </c>
      <c r="R6" s="50"/>
      <c r="S6" s="16"/>
      <c r="T6" s="16"/>
      <c r="U6" s="134">
        <f t="shared" si="0"/>
        <v>310.73619198297604</v>
      </c>
    </row>
    <row r="7" spans="1:24" x14ac:dyDescent="0.25">
      <c r="A7" s="133" t="s">
        <v>13</v>
      </c>
      <c r="B7" s="19" t="s">
        <v>52</v>
      </c>
      <c r="C7" s="19" t="s">
        <v>28</v>
      </c>
      <c r="D7" s="16">
        <f>100-(71.1-71.1)/71.1*50</f>
        <v>100</v>
      </c>
      <c r="E7" s="16">
        <f>100-(91.6-91.6)/91.6*50</f>
        <v>100</v>
      </c>
      <c r="F7" s="28"/>
      <c r="G7" s="19"/>
      <c r="H7" s="16"/>
      <c r="I7" s="16"/>
      <c r="J7" s="16"/>
      <c r="K7" s="16"/>
      <c r="L7" s="50"/>
      <c r="M7" s="16"/>
      <c r="N7" s="16"/>
      <c r="O7" s="16"/>
      <c r="P7" s="16"/>
      <c r="Q7" s="16"/>
      <c r="R7" s="50"/>
      <c r="S7" s="16"/>
      <c r="T7" s="16"/>
      <c r="U7" s="134">
        <f t="shared" si="0"/>
        <v>200</v>
      </c>
    </row>
    <row r="8" spans="1:24" x14ac:dyDescent="0.25">
      <c r="A8" s="133" t="s">
        <v>15</v>
      </c>
      <c r="B8" s="19" t="s">
        <v>89</v>
      </c>
      <c r="C8" s="19" t="s">
        <v>39</v>
      </c>
      <c r="D8" s="16"/>
      <c r="E8" s="19"/>
      <c r="F8" s="28"/>
      <c r="G8" s="19"/>
      <c r="H8" s="74"/>
      <c r="I8" s="16"/>
      <c r="J8" s="16"/>
      <c r="K8" s="16">
        <f>100-(38.92-38.92)/38.92*50</f>
        <v>100</v>
      </c>
      <c r="L8" s="16">
        <f>100-(71.93-71.93)/71.93*50</f>
        <v>100</v>
      </c>
      <c r="M8" s="16"/>
      <c r="N8" s="19"/>
      <c r="O8" s="19"/>
      <c r="P8" s="19"/>
      <c r="Q8" s="19"/>
      <c r="R8" s="16"/>
      <c r="S8" s="16"/>
      <c r="T8" s="16"/>
      <c r="U8" s="134">
        <f t="shared" si="0"/>
        <v>200</v>
      </c>
    </row>
    <row r="9" spans="1:24" x14ac:dyDescent="0.25">
      <c r="A9" s="133" t="s">
        <v>17</v>
      </c>
      <c r="B9" s="19" t="s">
        <v>16</v>
      </c>
      <c r="C9" s="19" t="s">
        <v>88</v>
      </c>
      <c r="D9" s="16">
        <f>100-(80.55-71.1)/71.1*50</f>
        <v>93.35443037974683</v>
      </c>
      <c r="E9" s="16">
        <f>100-(100.85-91.6)/91.6*50</f>
        <v>94.950873362445421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34">
        <f t="shared" si="0"/>
        <v>188.30530374219225</v>
      </c>
    </row>
    <row r="10" spans="1:24" x14ac:dyDescent="0.25">
      <c r="A10" s="133" t="s">
        <v>18</v>
      </c>
      <c r="B10" s="19" t="s">
        <v>147</v>
      </c>
      <c r="C10" s="19" t="s">
        <v>59</v>
      </c>
      <c r="D10" s="16"/>
      <c r="E10" s="16"/>
      <c r="F10" s="25"/>
      <c r="G10" s="16"/>
      <c r="H10" s="16"/>
      <c r="I10" s="16"/>
      <c r="J10" s="16"/>
      <c r="K10" s="16">
        <f>100-(67.87-38.92)/38.92*50</f>
        <v>62.808324768756421</v>
      </c>
      <c r="L10" s="16">
        <f>100-(103.87-71.93)/71.93*50</f>
        <v>77.797859029612127</v>
      </c>
      <c r="M10" s="16"/>
      <c r="N10" s="16"/>
      <c r="O10" s="16"/>
      <c r="P10" s="16"/>
      <c r="Q10" s="16"/>
      <c r="R10" s="16"/>
      <c r="S10" s="16"/>
      <c r="T10" s="16"/>
      <c r="U10" s="134">
        <f t="shared" si="0"/>
        <v>140.60618379836853</v>
      </c>
      <c r="X10" s="37"/>
    </row>
    <row r="11" spans="1:24" x14ac:dyDescent="0.25">
      <c r="A11" s="133" t="s">
        <v>19</v>
      </c>
      <c r="B11" s="19" t="s">
        <v>41</v>
      </c>
      <c r="C11" s="19" t="s">
        <v>42</v>
      </c>
      <c r="D11" s="16"/>
      <c r="E11" s="19"/>
      <c r="F11" s="28"/>
      <c r="G11" s="19"/>
      <c r="H11" s="74"/>
      <c r="I11" s="16"/>
      <c r="J11" s="16"/>
      <c r="K11" s="19"/>
      <c r="L11" s="16"/>
      <c r="M11" s="16"/>
      <c r="N11" s="19"/>
      <c r="O11" s="16"/>
      <c r="P11" s="16">
        <f>100-(63.47-63.47)/63.47*50</f>
        <v>100</v>
      </c>
      <c r="Q11" s="16"/>
      <c r="R11" s="16"/>
      <c r="S11" s="16"/>
      <c r="T11" s="16"/>
      <c r="U11" s="134">
        <f t="shared" si="0"/>
        <v>100</v>
      </c>
    </row>
    <row r="12" spans="1:24" x14ac:dyDescent="0.25">
      <c r="A12" s="133" t="s">
        <v>20</v>
      </c>
      <c r="B12" s="19" t="s">
        <v>126</v>
      </c>
      <c r="C12" s="19" t="s">
        <v>59</v>
      </c>
      <c r="D12" s="16"/>
      <c r="E12" s="16"/>
      <c r="F12" s="25"/>
      <c r="G12" s="16"/>
      <c r="H12" s="16"/>
      <c r="I12" s="16"/>
      <c r="J12" s="16"/>
      <c r="K12" s="16">
        <f>100-(41.38-38.92)/38.92*50</f>
        <v>96.839671120246663</v>
      </c>
      <c r="L12" s="16"/>
      <c r="M12" s="16"/>
      <c r="N12" s="16"/>
      <c r="O12" s="16"/>
      <c r="P12" s="16"/>
      <c r="Q12" s="16"/>
      <c r="R12" s="50"/>
      <c r="S12" s="16"/>
      <c r="T12" s="16"/>
      <c r="U12" s="134">
        <f t="shared" si="0"/>
        <v>96.839671120246663</v>
      </c>
    </row>
    <row r="13" spans="1:24" x14ac:dyDescent="0.25">
      <c r="A13" s="133" t="s">
        <v>21</v>
      </c>
      <c r="B13" s="19" t="s">
        <v>80</v>
      </c>
      <c r="C13" s="19"/>
      <c r="D13" s="16">
        <f>100-(163.32-71.1)/71.1*50</f>
        <v>35.147679324894511</v>
      </c>
      <c r="E13" s="16">
        <f>100-(181.93-91.6)/91.6*50</f>
        <v>50.693231441048027</v>
      </c>
      <c r="F13" s="16"/>
      <c r="G13" s="19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34">
        <f t="shared" si="0"/>
        <v>85.840910765942539</v>
      </c>
    </row>
    <row r="14" spans="1:24" x14ac:dyDescent="0.25">
      <c r="A14" s="133" t="s">
        <v>23</v>
      </c>
      <c r="B14" s="19" t="s">
        <v>54</v>
      </c>
      <c r="C14" s="19" t="s">
        <v>34</v>
      </c>
      <c r="D14" s="16"/>
      <c r="E14" s="16"/>
      <c r="F14" s="28"/>
      <c r="G14" s="19"/>
      <c r="H14" s="16"/>
      <c r="I14" s="16"/>
      <c r="J14" s="16"/>
      <c r="K14" s="16"/>
      <c r="L14" s="16"/>
      <c r="M14" s="16"/>
      <c r="N14" s="16"/>
      <c r="O14" s="16">
        <f>100-(46.03-35.72)/35.72*50</f>
        <v>85.568309070548707</v>
      </c>
      <c r="P14" s="19"/>
      <c r="Q14" s="19"/>
      <c r="R14" s="50"/>
      <c r="S14" s="16"/>
      <c r="T14" s="16"/>
      <c r="U14" s="134">
        <f t="shared" si="0"/>
        <v>85.568309070548707</v>
      </c>
    </row>
    <row r="15" spans="1:24" x14ac:dyDescent="0.25">
      <c r="A15" s="133" t="s">
        <v>24</v>
      </c>
      <c r="B15" s="19" t="s">
        <v>176</v>
      </c>
      <c r="C15" s="19" t="s">
        <v>177</v>
      </c>
      <c r="D15" s="19"/>
      <c r="E15" s="16"/>
      <c r="F15" s="28"/>
      <c r="G15" s="19"/>
      <c r="H15" s="19"/>
      <c r="I15" s="19"/>
      <c r="J15" s="16"/>
      <c r="K15" s="74"/>
      <c r="L15" s="16"/>
      <c r="M15" s="16"/>
      <c r="N15" s="19"/>
      <c r="O15" s="19"/>
      <c r="P15" s="16">
        <f>100-(87.65-63.47)/63.47*50</f>
        <v>80.951630691665343</v>
      </c>
      <c r="Q15" s="19"/>
      <c r="R15" s="16"/>
      <c r="S15" s="16"/>
      <c r="T15" s="16"/>
      <c r="U15" s="134">
        <f t="shared" si="0"/>
        <v>80.951630691665343</v>
      </c>
    </row>
    <row r="16" spans="1:24" x14ac:dyDescent="0.25">
      <c r="A16" s="133" t="s">
        <v>25</v>
      </c>
      <c r="B16" s="19" t="s">
        <v>104</v>
      </c>
      <c r="C16" s="19" t="s">
        <v>106</v>
      </c>
      <c r="D16" s="19"/>
      <c r="E16" s="19"/>
      <c r="F16" s="28"/>
      <c r="G16" s="19"/>
      <c r="H16" s="16"/>
      <c r="I16" s="19"/>
      <c r="J16" s="19"/>
      <c r="K16" s="19"/>
      <c r="L16" s="19"/>
      <c r="M16" s="16"/>
      <c r="N16" s="16"/>
      <c r="O16" s="16"/>
      <c r="P16" s="16"/>
      <c r="Q16" s="16">
        <f>100-(99.53-70.38)/70.38*50</f>
        <v>79.290991759022447</v>
      </c>
      <c r="R16" s="16"/>
      <c r="S16" s="19"/>
      <c r="T16" s="19"/>
      <c r="U16" s="134">
        <f t="shared" si="0"/>
        <v>79.290991759022447</v>
      </c>
    </row>
    <row r="17" spans="1:21" x14ac:dyDescent="0.25">
      <c r="A17" s="133" t="s">
        <v>69</v>
      </c>
      <c r="B17" s="19" t="s">
        <v>178</v>
      </c>
      <c r="C17" s="19"/>
      <c r="D17" s="16"/>
      <c r="E17" s="16"/>
      <c r="F17" s="28"/>
      <c r="G17" s="19"/>
      <c r="H17" s="74"/>
      <c r="I17" s="16"/>
      <c r="J17" s="19"/>
      <c r="K17" s="19"/>
      <c r="L17" s="16"/>
      <c r="M17" s="16"/>
      <c r="N17" s="19"/>
      <c r="O17" s="16"/>
      <c r="P17" s="16">
        <f>100-(101.2-63.47)/63.47*50</f>
        <v>70.277296360485266</v>
      </c>
      <c r="Q17" s="16"/>
      <c r="R17" s="16"/>
      <c r="S17" s="16"/>
      <c r="T17" s="16"/>
      <c r="U17" s="134">
        <f t="shared" si="0"/>
        <v>70.277296360485266</v>
      </c>
    </row>
    <row r="18" spans="1:21" s="39" customFormat="1" x14ac:dyDescent="0.25">
      <c r="A18" s="39" t="s">
        <v>26</v>
      </c>
    </row>
    <row r="19" spans="1:21" s="40" customFormat="1" x14ac:dyDescent="0.25">
      <c r="A19" s="40" t="s">
        <v>27</v>
      </c>
    </row>
  </sheetData>
  <sortState ref="B3:V17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zoomScaleNormal="100" workbookViewId="0">
      <selection activeCell="K15" sqref="K15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1" width="9.140625" style="3" customWidth="1"/>
    <col min="22" max="35" width="9" style="2"/>
    <col min="36" max="257" width="9" style="3"/>
    <col min="258" max="258" width="5.42578125" style="3" customWidth="1"/>
    <col min="259" max="259" width="18" style="3" customWidth="1"/>
    <col min="260" max="260" width="11.85546875" style="3" customWidth="1"/>
    <col min="261" max="277" width="9.140625" style="3" customWidth="1"/>
    <col min="278" max="513" width="9" style="3"/>
    <col min="514" max="514" width="5.42578125" style="3" customWidth="1"/>
    <col min="515" max="515" width="18" style="3" customWidth="1"/>
    <col min="516" max="516" width="11.85546875" style="3" customWidth="1"/>
    <col min="517" max="533" width="9.140625" style="3" customWidth="1"/>
    <col min="534" max="769" width="9" style="3"/>
    <col min="770" max="770" width="5.42578125" style="3" customWidth="1"/>
    <col min="771" max="771" width="18" style="3" customWidth="1"/>
    <col min="772" max="772" width="11.85546875" style="3" customWidth="1"/>
    <col min="773" max="789" width="9.140625" style="3" customWidth="1"/>
    <col min="790" max="1025" width="9" style="3"/>
    <col min="1026" max="1026" width="5.42578125" style="3" customWidth="1"/>
    <col min="1027" max="1027" width="18" style="3" customWidth="1"/>
    <col min="1028" max="1028" width="11.85546875" style="3" customWidth="1"/>
    <col min="1029" max="1045" width="9.140625" style="3" customWidth="1"/>
    <col min="1046" max="1281" width="9" style="3"/>
    <col min="1282" max="1282" width="5.42578125" style="3" customWidth="1"/>
    <col min="1283" max="1283" width="18" style="3" customWidth="1"/>
    <col min="1284" max="1284" width="11.85546875" style="3" customWidth="1"/>
    <col min="1285" max="1301" width="9.140625" style="3" customWidth="1"/>
    <col min="1302" max="1537" width="9" style="3"/>
    <col min="1538" max="1538" width="5.42578125" style="3" customWidth="1"/>
    <col min="1539" max="1539" width="18" style="3" customWidth="1"/>
    <col min="1540" max="1540" width="11.85546875" style="3" customWidth="1"/>
    <col min="1541" max="1557" width="9.140625" style="3" customWidth="1"/>
    <col min="1558" max="1793" width="9" style="3"/>
    <col min="1794" max="1794" width="5.42578125" style="3" customWidth="1"/>
    <col min="1795" max="1795" width="18" style="3" customWidth="1"/>
    <col min="1796" max="1796" width="11.85546875" style="3" customWidth="1"/>
    <col min="1797" max="1813" width="9.140625" style="3" customWidth="1"/>
    <col min="1814" max="2049" width="9" style="3"/>
    <col min="2050" max="2050" width="5.42578125" style="3" customWidth="1"/>
    <col min="2051" max="2051" width="18" style="3" customWidth="1"/>
    <col min="2052" max="2052" width="11.85546875" style="3" customWidth="1"/>
    <col min="2053" max="2069" width="9.140625" style="3" customWidth="1"/>
    <col min="2070" max="2305" width="9" style="3"/>
    <col min="2306" max="2306" width="5.42578125" style="3" customWidth="1"/>
    <col min="2307" max="2307" width="18" style="3" customWidth="1"/>
    <col min="2308" max="2308" width="11.85546875" style="3" customWidth="1"/>
    <col min="2309" max="2325" width="9.140625" style="3" customWidth="1"/>
    <col min="2326" max="2561" width="9" style="3"/>
    <col min="2562" max="2562" width="5.42578125" style="3" customWidth="1"/>
    <col min="2563" max="2563" width="18" style="3" customWidth="1"/>
    <col min="2564" max="2564" width="11.85546875" style="3" customWidth="1"/>
    <col min="2565" max="2581" width="9.140625" style="3" customWidth="1"/>
    <col min="2582" max="2817" width="9" style="3"/>
    <col min="2818" max="2818" width="5.42578125" style="3" customWidth="1"/>
    <col min="2819" max="2819" width="18" style="3" customWidth="1"/>
    <col min="2820" max="2820" width="11.85546875" style="3" customWidth="1"/>
    <col min="2821" max="2837" width="9.140625" style="3" customWidth="1"/>
    <col min="2838" max="3073" width="9" style="3"/>
    <col min="3074" max="3074" width="5.42578125" style="3" customWidth="1"/>
    <col min="3075" max="3075" width="18" style="3" customWidth="1"/>
    <col min="3076" max="3076" width="11.85546875" style="3" customWidth="1"/>
    <col min="3077" max="3093" width="9.140625" style="3" customWidth="1"/>
    <col min="3094" max="3329" width="9" style="3"/>
    <col min="3330" max="3330" width="5.42578125" style="3" customWidth="1"/>
    <col min="3331" max="3331" width="18" style="3" customWidth="1"/>
    <col min="3332" max="3332" width="11.85546875" style="3" customWidth="1"/>
    <col min="3333" max="3349" width="9.140625" style="3" customWidth="1"/>
    <col min="3350" max="3585" width="9" style="3"/>
    <col min="3586" max="3586" width="5.42578125" style="3" customWidth="1"/>
    <col min="3587" max="3587" width="18" style="3" customWidth="1"/>
    <col min="3588" max="3588" width="11.85546875" style="3" customWidth="1"/>
    <col min="3589" max="3605" width="9.140625" style="3" customWidth="1"/>
    <col min="3606" max="3841" width="9" style="3"/>
    <col min="3842" max="3842" width="5.42578125" style="3" customWidth="1"/>
    <col min="3843" max="3843" width="18" style="3" customWidth="1"/>
    <col min="3844" max="3844" width="11.85546875" style="3" customWidth="1"/>
    <col min="3845" max="3861" width="9.140625" style="3" customWidth="1"/>
    <col min="3862" max="4097" width="9" style="3"/>
    <col min="4098" max="4098" width="5.42578125" style="3" customWidth="1"/>
    <col min="4099" max="4099" width="18" style="3" customWidth="1"/>
    <col min="4100" max="4100" width="11.85546875" style="3" customWidth="1"/>
    <col min="4101" max="4117" width="9.140625" style="3" customWidth="1"/>
    <col min="4118" max="4353" width="9" style="3"/>
    <col min="4354" max="4354" width="5.42578125" style="3" customWidth="1"/>
    <col min="4355" max="4355" width="18" style="3" customWidth="1"/>
    <col min="4356" max="4356" width="11.85546875" style="3" customWidth="1"/>
    <col min="4357" max="4373" width="9.140625" style="3" customWidth="1"/>
    <col min="4374" max="4609" width="9" style="3"/>
    <col min="4610" max="4610" width="5.42578125" style="3" customWidth="1"/>
    <col min="4611" max="4611" width="18" style="3" customWidth="1"/>
    <col min="4612" max="4612" width="11.85546875" style="3" customWidth="1"/>
    <col min="4613" max="4629" width="9.140625" style="3" customWidth="1"/>
    <col min="4630" max="4865" width="9" style="3"/>
    <col min="4866" max="4866" width="5.42578125" style="3" customWidth="1"/>
    <col min="4867" max="4867" width="18" style="3" customWidth="1"/>
    <col min="4868" max="4868" width="11.85546875" style="3" customWidth="1"/>
    <col min="4869" max="4885" width="9.140625" style="3" customWidth="1"/>
    <col min="4886" max="5121" width="9" style="3"/>
    <col min="5122" max="5122" width="5.42578125" style="3" customWidth="1"/>
    <col min="5123" max="5123" width="18" style="3" customWidth="1"/>
    <col min="5124" max="5124" width="11.85546875" style="3" customWidth="1"/>
    <col min="5125" max="5141" width="9.140625" style="3" customWidth="1"/>
    <col min="5142" max="5377" width="9" style="3"/>
    <col min="5378" max="5378" width="5.42578125" style="3" customWidth="1"/>
    <col min="5379" max="5379" width="18" style="3" customWidth="1"/>
    <col min="5380" max="5380" width="11.85546875" style="3" customWidth="1"/>
    <col min="5381" max="5397" width="9.140625" style="3" customWidth="1"/>
    <col min="5398" max="5633" width="9" style="3"/>
    <col min="5634" max="5634" width="5.42578125" style="3" customWidth="1"/>
    <col min="5635" max="5635" width="18" style="3" customWidth="1"/>
    <col min="5636" max="5636" width="11.85546875" style="3" customWidth="1"/>
    <col min="5637" max="5653" width="9.140625" style="3" customWidth="1"/>
    <col min="5654" max="5889" width="9" style="3"/>
    <col min="5890" max="5890" width="5.42578125" style="3" customWidth="1"/>
    <col min="5891" max="5891" width="18" style="3" customWidth="1"/>
    <col min="5892" max="5892" width="11.85546875" style="3" customWidth="1"/>
    <col min="5893" max="5909" width="9.140625" style="3" customWidth="1"/>
    <col min="5910" max="6145" width="9" style="3"/>
    <col min="6146" max="6146" width="5.42578125" style="3" customWidth="1"/>
    <col min="6147" max="6147" width="18" style="3" customWidth="1"/>
    <col min="6148" max="6148" width="11.85546875" style="3" customWidth="1"/>
    <col min="6149" max="6165" width="9.140625" style="3" customWidth="1"/>
    <col min="6166" max="6401" width="9" style="3"/>
    <col min="6402" max="6402" width="5.42578125" style="3" customWidth="1"/>
    <col min="6403" max="6403" width="18" style="3" customWidth="1"/>
    <col min="6404" max="6404" width="11.85546875" style="3" customWidth="1"/>
    <col min="6405" max="6421" width="9.140625" style="3" customWidth="1"/>
    <col min="6422" max="6657" width="9" style="3"/>
    <col min="6658" max="6658" width="5.42578125" style="3" customWidth="1"/>
    <col min="6659" max="6659" width="18" style="3" customWidth="1"/>
    <col min="6660" max="6660" width="11.85546875" style="3" customWidth="1"/>
    <col min="6661" max="6677" width="9.140625" style="3" customWidth="1"/>
    <col min="6678" max="6913" width="9" style="3"/>
    <col min="6914" max="6914" width="5.42578125" style="3" customWidth="1"/>
    <col min="6915" max="6915" width="18" style="3" customWidth="1"/>
    <col min="6916" max="6916" width="11.85546875" style="3" customWidth="1"/>
    <col min="6917" max="6933" width="9.140625" style="3" customWidth="1"/>
    <col min="6934" max="7169" width="9" style="3"/>
    <col min="7170" max="7170" width="5.42578125" style="3" customWidth="1"/>
    <col min="7171" max="7171" width="18" style="3" customWidth="1"/>
    <col min="7172" max="7172" width="11.85546875" style="3" customWidth="1"/>
    <col min="7173" max="7189" width="9.140625" style="3" customWidth="1"/>
    <col min="7190" max="7425" width="9" style="3"/>
    <col min="7426" max="7426" width="5.42578125" style="3" customWidth="1"/>
    <col min="7427" max="7427" width="18" style="3" customWidth="1"/>
    <col min="7428" max="7428" width="11.85546875" style="3" customWidth="1"/>
    <col min="7429" max="7445" width="9.140625" style="3" customWidth="1"/>
    <col min="7446" max="7681" width="9" style="3"/>
    <col min="7682" max="7682" width="5.42578125" style="3" customWidth="1"/>
    <col min="7683" max="7683" width="18" style="3" customWidth="1"/>
    <col min="7684" max="7684" width="11.85546875" style="3" customWidth="1"/>
    <col min="7685" max="7701" width="9.140625" style="3" customWidth="1"/>
    <col min="7702" max="7937" width="9" style="3"/>
    <col min="7938" max="7938" width="5.42578125" style="3" customWidth="1"/>
    <col min="7939" max="7939" width="18" style="3" customWidth="1"/>
    <col min="7940" max="7940" width="11.85546875" style="3" customWidth="1"/>
    <col min="7941" max="7957" width="9.140625" style="3" customWidth="1"/>
    <col min="7958" max="8193" width="9" style="3"/>
    <col min="8194" max="8194" width="5.42578125" style="3" customWidth="1"/>
    <col min="8195" max="8195" width="18" style="3" customWidth="1"/>
    <col min="8196" max="8196" width="11.85546875" style="3" customWidth="1"/>
    <col min="8197" max="8213" width="9.140625" style="3" customWidth="1"/>
    <col min="8214" max="8449" width="9" style="3"/>
    <col min="8450" max="8450" width="5.42578125" style="3" customWidth="1"/>
    <col min="8451" max="8451" width="18" style="3" customWidth="1"/>
    <col min="8452" max="8452" width="11.85546875" style="3" customWidth="1"/>
    <col min="8453" max="8469" width="9.140625" style="3" customWidth="1"/>
    <col min="8470" max="8705" width="9" style="3"/>
    <col min="8706" max="8706" width="5.42578125" style="3" customWidth="1"/>
    <col min="8707" max="8707" width="18" style="3" customWidth="1"/>
    <col min="8708" max="8708" width="11.85546875" style="3" customWidth="1"/>
    <col min="8709" max="8725" width="9.140625" style="3" customWidth="1"/>
    <col min="8726" max="8961" width="9" style="3"/>
    <col min="8962" max="8962" width="5.42578125" style="3" customWidth="1"/>
    <col min="8963" max="8963" width="18" style="3" customWidth="1"/>
    <col min="8964" max="8964" width="11.85546875" style="3" customWidth="1"/>
    <col min="8965" max="8981" width="9.140625" style="3" customWidth="1"/>
    <col min="8982" max="9217" width="9" style="3"/>
    <col min="9218" max="9218" width="5.42578125" style="3" customWidth="1"/>
    <col min="9219" max="9219" width="18" style="3" customWidth="1"/>
    <col min="9220" max="9220" width="11.85546875" style="3" customWidth="1"/>
    <col min="9221" max="9237" width="9.140625" style="3" customWidth="1"/>
    <col min="9238" max="9473" width="9" style="3"/>
    <col min="9474" max="9474" width="5.42578125" style="3" customWidth="1"/>
    <col min="9475" max="9475" width="18" style="3" customWidth="1"/>
    <col min="9476" max="9476" width="11.85546875" style="3" customWidth="1"/>
    <col min="9477" max="9493" width="9.140625" style="3" customWidth="1"/>
    <col min="9494" max="9729" width="9" style="3"/>
    <col min="9730" max="9730" width="5.42578125" style="3" customWidth="1"/>
    <col min="9731" max="9731" width="18" style="3" customWidth="1"/>
    <col min="9732" max="9732" width="11.85546875" style="3" customWidth="1"/>
    <col min="9733" max="9749" width="9.140625" style="3" customWidth="1"/>
    <col min="9750" max="9985" width="9" style="3"/>
    <col min="9986" max="9986" width="5.42578125" style="3" customWidth="1"/>
    <col min="9987" max="9987" width="18" style="3" customWidth="1"/>
    <col min="9988" max="9988" width="11.85546875" style="3" customWidth="1"/>
    <col min="9989" max="10005" width="9.140625" style="3" customWidth="1"/>
    <col min="10006" max="10241" width="9" style="3"/>
    <col min="10242" max="10242" width="5.42578125" style="3" customWidth="1"/>
    <col min="10243" max="10243" width="18" style="3" customWidth="1"/>
    <col min="10244" max="10244" width="11.85546875" style="3" customWidth="1"/>
    <col min="10245" max="10261" width="9.140625" style="3" customWidth="1"/>
    <col min="10262" max="10497" width="9" style="3"/>
    <col min="10498" max="10498" width="5.42578125" style="3" customWidth="1"/>
    <col min="10499" max="10499" width="18" style="3" customWidth="1"/>
    <col min="10500" max="10500" width="11.85546875" style="3" customWidth="1"/>
    <col min="10501" max="10517" width="9.140625" style="3" customWidth="1"/>
    <col min="10518" max="10753" width="9" style="3"/>
    <col min="10754" max="10754" width="5.42578125" style="3" customWidth="1"/>
    <col min="10755" max="10755" width="18" style="3" customWidth="1"/>
    <col min="10756" max="10756" width="11.85546875" style="3" customWidth="1"/>
    <col min="10757" max="10773" width="9.140625" style="3" customWidth="1"/>
    <col min="10774" max="11009" width="9" style="3"/>
    <col min="11010" max="11010" width="5.42578125" style="3" customWidth="1"/>
    <col min="11011" max="11011" width="18" style="3" customWidth="1"/>
    <col min="11012" max="11012" width="11.85546875" style="3" customWidth="1"/>
    <col min="11013" max="11029" width="9.140625" style="3" customWidth="1"/>
    <col min="11030" max="11265" width="9" style="3"/>
    <col min="11266" max="11266" width="5.42578125" style="3" customWidth="1"/>
    <col min="11267" max="11267" width="18" style="3" customWidth="1"/>
    <col min="11268" max="11268" width="11.85546875" style="3" customWidth="1"/>
    <col min="11269" max="11285" width="9.140625" style="3" customWidth="1"/>
    <col min="11286" max="11521" width="9" style="3"/>
    <col min="11522" max="11522" width="5.42578125" style="3" customWidth="1"/>
    <col min="11523" max="11523" width="18" style="3" customWidth="1"/>
    <col min="11524" max="11524" width="11.85546875" style="3" customWidth="1"/>
    <col min="11525" max="11541" width="9.140625" style="3" customWidth="1"/>
    <col min="11542" max="11777" width="9" style="3"/>
    <col min="11778" max="11778" width="5.42578125" style="3" customWidth="1"/>
    <col min="11779" max="11779" width="18" style="3" customWidth="1"/>
    <col min="11780" max="11780" width="11.85546875" style="3" customWidth="1"/>
    <col min="11781" max="11797" width="9.140625" style="3" customWidth="1"/>
    <col min="11798" max="12033" width="9" style="3"/>
    <col min="12034" max="12034" width="5.42578125" style="3" customWidth="1"/>
    <col min="12035" max="12035" width="18" style="3" customWidth="1"/>
    <col min="12036" max="12036" width="11.85546875" style="3" customWidth="1"/>
    <col min="12037" max="12053" width="9.140625" style="3" customWidth="1"/>
    <col min="12054" max="12289" width="9" style="3"/>
    <col min="12290" max="12290" width="5.42578125" style="3" customWidth="1"/>
    <col min="12291" max="12291" width="18" style="3" customWidth="1"/>
    <col min="12292" max="12292" width="11.85546875" style="3" customWidth="1"/>
    <col min="12293" max="12309" width="9.140625" style="3" customWidth="1"/>
    <col min="12310" max="12545" width="9" style="3"/>
    <col min="12546" max="12546" width="5.42578125" style="3" customWidth="1"/>
    <col min="12547" max="12547" width="18" style="3" customWidth="1"/>
    <col min="12548" max="12548" width="11.85546875" style="3" customWidth="1"/>
    <col min="12549" max="12565" width="9.140625" style="3" customWidth="1"/>
    <col min="12566" max="12801" width="9" style="3"/>
    <col min="12802" max="12802" width="5.42578125" style="3" customWidth="1"/>
    <col min="12803" max="12803" width="18" style="3" customWidth="1"/>
    <col min="12804" max="12804" width="11.85546875" style="3" customWidth="1"/>
    <col min="12805" max="12821" width="9.140625" style="3" customWidth="1"/>
    <col min="12822" max="13057" width="9" style="3"/>
    <col min="13058" max="13058" width="5.42578125" style="3" customWidth="1"/>
    <col min="13059" max="13059" width="18" style="3" customWidth="1"/>
    <col min="13060" max="13060" width="11.85546875" style="3" customWidth="1"/>
    <col min="13061" max="13077" width="9.140625" style="3" customWidth="1"/>
    <col min="13078" max="13313" width="9" style="3"/>
    <col min="13314" max="13314" width="5.42578125" style="3" customWidth="1"/>
    <col min="13315" max="13315" width="18" style="3" customWidth="1"/>
    <col min="13316" max="13316" width="11.85546875" style="3" customWidth="1"/>
    <col min="13317" max="13333" width="9.140625" style="3" customWidth="1"/>
    <col min="13334" max="13569" width="9" style="3"/>
    <col min="13570" max="13570" width="5.42578125" style="3" customWidth="1"/>
    <col min="13571" max="13571" width="18" style="3" customWidth="1"/>
    <col min="13572" max="13572" width="11.85546875" style="3" customWidth="1"/>
    <col min="13573" max="13589" width="9.140625" style="3" customWidth="1"/>
    <col min="13590" max="13825" width="9" style="3"/>
    <col min="13826" max="13826" width="5.42578125" style="3" customWidth="1"/>
    <col min="13827" max="13827" width="18" style="3" customWidth="1"/>
    <col min="13828" max="13828" width="11.85546875" style="3" customWidth="1"/>
    <col min="13829" max="13845" width="9.140625" style="3" customWidth="1"/>
    <col min="13846" max="14081" width="9" style="3"/>
    <col min="14082" max="14082" width="5.42578125" style="3" customWidth="1"/>
    <col min="14083" max="14083" width="18" style="3" customWidth="1"/>
    <col min="14084" max="14084" width="11.85546875" style="3" customWidth="1"/>
    <col min="14085" max="14101" width="9.140625" style="3" customWidth="1"/>
    <col min="14102" max="14337" width="9" style="3"/>
    <col min="14338" max="14338" width="5.42578125" style="3" customWidth="1"/>
    <col min="14339" max="14339" width="18" style="3" customWidth="1"/>
    <col min="14340" max="14340" width="11.85546875" style="3" customWidth="1"/>
    <col min="14341" max="14357" width="9.140625" style="3" customWidth="1"/>
    <col min="14358" max="14593" width="9" style="3"/>
    <col min="14594" max="14594" width="5.42578125" style="3" customWidth="1"/>
    <col min="14595" max="14595" width="18" style="3" customWidth="1"/>
    <col min="14596" max="14596" width="11.85546875" style="3" customWidth="1"/>
    <col min="14597" max="14613" width="9.140625" style="3" customWidth="1"/>
    <col min="14614" max="14849" width="9" style="3"/>
    <col min="14850" max="14850" width="5.42578125" style="3" customWidth="1"/>
    <col min="14851" max="14851" width="18" style="3" customWidth="1"/>
    <col min="14852" max="14852" width="11.85546875" style="3" customWidth="1"/>
    <col min="14853" max="14869" width="9.140625" style="3" customWidth="1"/>
    <col min="14870" max="15105" width="9" style="3"/>
    <col min="15106" max="15106" width="5.42578125" style="3" customWidth="1"/>
    <col min="15107" max="15107" width="18" style="3" customWidth="1"/>
    <col min="15108" max="15108" width="11.85546875" style="3" customWidth="1"/>
    <col min="15109" max="15125" width="9.140625" style="3" customWidth="1"/>
    <col min="15126" max="15361" width="9" style="3"/>
    <col min="15362" max="15362" width="5.42578125" style="3" customWidth="1"/>
    <col min="15363" max="15363" width="18" style="3" customWidth="1"/>
    <col min="15364" max="15364" width="11.85546875" style="3" customWidth="1"/>
    <col min="15365" max="15381" width="9.140625" style="3" customWidth="1"/>
    <col min="15382" max="15617" width="9" style="3"/>
    <col min="15618" max="15618" width="5.42578125" style="3" customWidth="1"/>
    <col min="15619" max="15619" width="18" style="3" customWidth="1"/>
    <col min="15620" max="15620" width="11.85546875" style="3" customWidth="1"/>
    <col min="15621" max="15637" width="9.140625" style="3" customWidth="1"/>
    <col min="15638" max="15873" width="9" style="3"/>
    <col min="15874" max="15874" width="5.42578125" style="3" customWidth="1"/>
    <col min="15875" max="15875" width="18" style="3" customWidth="1"/>
    <col min="15876" max="15876" width="11.85546875" style="3" customWidth="1"/>
    <col min="15877" max="15893" width="9.140625" style="3" customWidth="1"/>
    <col min="15894" max="16129" width="9" style="3"/>
    <col min="16130" max="16130" width="5.42578125" style="3" customWidth="1"/>
    <col min="16131" max="16131" width="18" style="3" customWidth="1"/>
    <col min="16132" max="16132" width="11.85546875" style="3" customWidth="1"/>
    <col min="16133" max="16149" width="9.140625" style="3" customWidth="1"/>
    <col min="16150" max="16384" width="9" style="3"/>
  </cols>
  <sheetData>
    <row r="1" spans="1:23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"/>
      <c r="W1" s="1"/>
    </row>
    <row r="2" spans="1:23" ht="162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3" x14ac:dyDescent="0.25">
      <c r="A3" s="133" t="s">
        <v>4</v>
      </c>
      <c r="B3" s="19" t="s">
        <v>47</v>
      </c>
      <c r="C3" s="19" t="s">
        <v>42</v>
      </c>
      <c r="D3" s="16">
        <f>100-(51-51)/51*50</f>
        <v>100</v>
      </c>
      <c r="E3" s="16">
        <f>100-(76.05-76.05)/76.05*50</f>
        <v>100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>
        <f>100-(62.17-62.17)/62.17*50</f>
        <v>100</v>
      </c>
      <c r="R3" s="16">
        <f>100-(62.77-62.77)/62.77*50</f>
        <v>100</v>
      </c>
      <c r="S3" s="16">
        <f>100-(81.67-81.67)/81.67*50</f>
        <v>100</v>
      </c>
      <c r="T3" s="16">
        <f>100-(89.25-89.25)/89.25*50</f>
        <v>100</v>
      </c>
      <c r="U3" s="134">
        <f>SUM(D3:T3)</f>
        <v>600</v>
      </c>
    </row>
    <row r="4" spans="1:23" x14ac:dyDescent="0.25">
      <c r="A4" s="133" t="s">
        <v>6</v>
      </c>
      <c r="B4" s="19"/>
      <c r="C4" s="19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34"/>
    </row>
    <row r="5" spans="1:23" x14ac:dyDescent="0.25">
      <c r="A5" s="133" t="s">
        <v>8</v>
      </c>
      <c r="B5" s="19"/>
      <c r="C5" s="1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34"/>
    </row>
    <row r="6" spans="1:23" x14ac:dyDescent="0.25">
      <c r="A6" s="133"/>
      <c r="B6" s="19"/>
      <c r="C6" s="19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34"/>
    </row>
    <row r="7" spans="1:2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4"/>
      <c r="O7" s="34"/>
      <c r="P7" s="34"/>
      <c r="Q7" s="34"/>
      <c r="R7" s="34"/>
      <c r="S7" s="36"/>
      <c r="T7" s="36"/>
      <c r="U7" s="37"/>
    </row>
    <row r="8" spans="1:2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4"/>
      <c r="O8" s="34"/>
      <c r="P8" s="34"/>
      <c r="Q8" s="34"/>
      <c r="R8" s="34"/>
      <c r="S8" s="2"/>
      <c r="T8" s="2"/>
      <c r="U8" s="37"/>
    </row>
    <row r="9" spans="1:2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4"/>
      <c r="O9" s="2"/>
      <c r="P9" s="2"/>
      <c r="Q9" s="2"/>
      <c r="R9" s="2"/>
      <c r="S9" s="2"/>
      <c r="T9" s="2"/>
      <c r="U9" s="2"/>
    </row>
    <row r="10" spans="1:23" s="39" customFormat="1" x14ac:dyDescent="0.25">
      <c r="A10" s="39" t="s">
        <v>26</v>
      </c>
    </row>
    <row r="11" spans="1:23" s="40" customFormat="1" x14ac:dyDescent="0.25">
      <c r="A11" s="40" t="s">
        <v>27</v>
      </c>
    </row>
  </sheetData>
  <sortState ref="B3:V6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opLeftCell="A10" zoomScaleNormal="100" workbookViewId="0">
      <selection activeCell="I9" sqref="I9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8.140625" style="3" customWidth="1"/>
    <col min="4" max="21" width="9.140625" style="3" customWidth="1"/>
    <col min="22" max="35" width="9" style="2"/>
    <col min="36" max="257" width="9" style="3"/>
    <col min="258" max="258" width="5.42578125" style="3" customWidth="1"/>
    <col min="259" max="259" width="18" style="3" customWidth="1"/>
    <col min="260" max="260" width="11.85546875" style="3" customWidth="1"/>
    <col min="261" max="277" width="9.140625" style="3" customWidth="1"/>
    <col min="278" max="513" width="9" style="3"/>
    <col min="514" max="514" width="5.42578125" style="3" customWidth="1"/>
    <col min="515" max="515" width="18" style="3" customWidth="1"/>
    <col min="516" max="516" width="11.85546875" style="3" customWidth="1"/>
    <col min="517" max="533" width="9.140625" style="3" customWidth="1"/>
    <col min="534" max="769" width="9" style="3"/>
    <col min="770" max="770" width="5.42578125" style="3" customWidth="1"/>
    <col min="771" max="771" width="18" style="3" customWidth="1"/>
    <col min="772" max="772" width="11.85546875" style="3" customWidth="1"/>
    <col min="773" max="789" width="9.140625" style="3" customWidth="1"/>
    <col min="790" max="1025" width="9" style="3"/>
    <col min="1026" max="1026" width="5.42578125" style="3" customWidth="1"/>
    <col min="1027" max="1027" width="18" style="3" customWidth="1"/>
    <col min="1028" max="1028" width="11.85546875" style="3" customWidth="1"/>
    <col min="1029" max="1045" width="9.140625" style="3" customWidth="1"/>
    <col min="1046" max="1281" width="9" style="3"/>
    <col min="1282" max="1282" width="5.42578125" style="3" customWidth="1"/>
    <col min="1283" max="1283" width="18" style="3" customWidth="1"/>
    <col min="1284" max="1284" width="11.85546875" style="3" customWidth="1"/>
    <col min="1285" max="1301" width="9.140625" style="3" customWidth="1"/>
    <col min="1302" max="1537" width="9" style="3"/>
    <col min="1538" max="1538" width="5.42578125" style="3" customWidth="1"/>
    <col min="1539" max="1539" width="18" style="3" customWidth="1"/>
    <col min="1540" max="1540" width="11.85546875" style="3" customWidth="1"/>
    <col min="1541" max="1557" width="9.140625" style="3" customWidth="1"/>
    <col min="1558" max="1793" width="9" style="3"/>
    <col min="1794" max="1794" width="5.42578125" style="3" customWidth="1"/>
    <col min="1795" max="1795" width="18" style="3" customWidth="1"/>
    <col min="1796" max="1796" width="11.85546875" style="3" customWidth="1"/>
    <col min="1797" max="1813" width="9.140625" style="3" customWidth="1"/>
    <col min="1814" max="2049" width="9" style="3"/>
    <col min="2050" max="2050" width="5.42578125" style="3" customWidth="1"/>
    <col min="2051" max="2051" width="18" style="3" customWidth="1"/>
    <col min="2052" max="2052" width="11.85546875" style="3" customWidth="1"/>
    <col min="2053" max="2069" width="9.140625" style="3" customWidth="1"/>
    <col min="2070" max="2305" width="9" style="3"/>
    <col min="2306" max="2306" width="5.42578125" style="3" customWidth="1"/>
    <col min="2307" max="2307" width="18" style="3" customWidth="1"/>
    <col min="2308" max="2308" width="11.85546875" style="3" customWidth="1"/>
    <col min="2309" max="2325" width="9.140625" style="3" customWidth="1"/>
    <col min="2326" max="2561" width="9" style="3"/>
    <col min="2562" max="2562" width="5.42578125" style="3" customWidth="1"/>
    <col min="2563" max="2563" width="18" style="3" customWidth="1"/>
    <col min="2564" max="2564" width="11.85546875" style="3" customWidth="1"/>
    <col min="2565" max="2581" width="9.140625" style="3" customWidth="1"/>
    <col min="2582" max="2817" width="9" style="3"/>
    <col min="2818" max="2818" width="5.42578125" style="3" customWidth="1"/>
    <col min="2819" max="2819" width="18" style="3" customWidth="1"/>
    <col min="2820" max="2820" width="11.85546875" style="3" customWidth="1"/>
    <col min="2821" max="2837" width="9.140625" style="3" customWidth="1"/>
    <col min="2838" max="3073" width="9" style="3"/>
    <col min="3074" max="3074" width="5.42578125" style="3" customWidth="1"/>
    <col min="3075" max="3075" width="18" style="3" customWidth="1"/>
    <col min="3076" max="3076" width="11.85546875" style="3" customWidth="1"/>
    <col min="3077" max="3093" width="9.140625" style="3" customWidth="1"/>
    <col min="3094" max="3329" width="9" style="3"/>
    <col min="3330" max="3330" width="5.42578125" style="3" customWidth="1"/>
    <col min="3331" max="3331" width="18" style="3" customWidth="1"/>
    <col min="3332" max="3332" width="11.85546875" style="3" customWidth="1"/>
    <col min="3333" max="3349" width="9.140625" style="3" customWidth="1"/>
    <col min="3350" max="3585" width="9" style="3"/>
    <col min="3586" max="3586" width="5.42578125" style="3" customWidth="1"/>
    <col min="3587" max="3587" width="18" style="3" customWidth="1"/>
    <col min="3588" max="3588" width="11.85546875" style="3" customWidth="1"/>
    <col min="3589" max="3605" width="9.140625" style="3" customWidth="1"/>
    <col min="3606" max="3841" width="9" style="3"/>
    <col min="3842" max="3842" width="5.42578125" style="3" customWidth="1"/>
    <col min="3843" max="3843" width="18" style="3" customWidth="1"/>
    <col min="3844" max="3844" width="11.85546875" style="3" customWidth="1"/>
    <col min="3845" max="3861" width="9.140625" style="3" customWidth="1"/>
    <col min="3862" max="4097" width="9" style="3"/>
    <col min="4098" max="4098" width="5.42578125" style="3" customWidth="1"/>
    <col min="4099" max="4099" width="18" style="3" customWidth="1"/>
    <col min="4100" max="4100" width="11.85546875" style="3" customWidth="1"/>
    <col min="4101" max="4117" width="9.140625" style="3" customWidth="1"/>
    <col min="4118" max="4353" width="9" style="3"/>
    <col min="4354" max="4354" width="5.42578125" style="3" customWidth="1"/>
    <col min="4355" max="4355" width="18" style="3" customWidth="1"/>
    <col min="4356" max="4356" width="11.85546875" style="3" customWidth="1"/>
    <col min="4357" max="4373" width="9.140625" style="3" customWidth="1"/>
    <col min="4374" max="4609" width="9" style="3"/>
    <col min="4610" max="4610" width="5.42578125" style="3" customWidth="1"/>
    <col min="4611" max="4611" width="18" style="3" customWidth="1"/>
    <col min="4612" max="4612" width="11.85546875" style="3" customWidth="1"/>
    <col min="4613" max="4629" width="9.140625" style="3" customWidth="1"/>
    <col min="4630" max="4865" width="9" style="3"/>
    <col min="4866" max="4866" width="5.42578125" style="3" customWidth="1"/>
    <col min="4867" max="4867" width="18" style="3" customWidth="1"/>
    <col min="4868" max="4868" width="11.85546875" style="3" customWidth="1"/>
    <col min="4869" max="4885" width="9.140625" style="3" customWidth="1"/>
    <col min="4886" max="5121" width="9" style="3"/>
    <col min="5122" max="5122" width="5.42578125" style="3" customWidth="1"/>
    <col min="5123" max="5123" width="18" style="3" customWidth="1"/>
    <col min="5124" max="5124" width="11.85546875" style="3" customWidth="1"/>
    <col min="5125" max="5141" width="9.140625" style="3" customWidth="1"/>
    <col min="5142" max="5377" width="9" style="3"/>
    <col min="5378" max="5378" width="5.42578125" style="3" customWidth="1"/>
    <col min="5379" max="5379" width="18" style="3" customWidth="1"/>
    <col min="5380" max="5380" width="11.85546875" style="3" customWidth="1"/>
    <col min="5381" max="5397" width="9.140625" style="3" customWidth="1"/>
    <col min="5398" max="5633" width="9" style="3"/>
    <col min="5634" max="5634" width="5.42578125" style="3" customWidth="1"/>
    <col min="5635" max="5635" width="18" style="3" customWidth="1"/>
    <col min="5636" max="5636" width="11.85546875" style="3" customWidth="1"/>
    <col min="5637" max="5653" width="9.140625" style="3" customWidth="1"/>
    <col min="5654" max="5889" width="9" style="3"/>
    <col min="5890" max="5890" width="5.42578125" style="3" customWidth="1"/>
    <col min="5891" max="5891" width="18" style="3" customWidth="1"/>
    <col min="5892" max="5892" width="11.85546875" style="3" customWidth="1"/>
    <col min="5893" max="5909" width="9.140625" style="3" customWidth="1"/>
    <col min="5910" max="6145" width="9" style="3"/>
    <col min="6146" max="6146" width="5.42578125" style="3" customWidth="1"/>
    <col min="6147" max="6147" width="18" style="3" customWidth="1"/>
    <col min="6148" max="6148" width="11.85546875" style="3" customWidth="1"/>
    <col min="6149" max="6165" width="9.140625" style="3" customWidth="1"/>
    <col min="6166" max="6401" width="9" style="3"/>
    <col min="6402" max="6402" width="5.42578125" style="3" customWidth="1"/>
    <col min="6403" max="6403" width="18" style="3" customWidth="1"/>
    <col min="6404" max="6404" width="11.85546875" style="3" customWidth="1"/>
    <col min="6405" max="6421" width="9.140625" style="3" customWidth="1"/>
    <col min="6422" max="6657" width="9" style="3"/>
    <col min="6658" max="6658" width="5.42578125" style="3" customWidth="1"/>
    <col min="6659" max="6659" width="18" style="3" customWidth="1"/>
    <col min="6660" max="6660" width="11.85546875" style="3" customWidth="1"/>
    <col min="6661" max="6677" width="9.140625" style="3" customWidth="1"/>
    <col min="6678" max="6913" width="9" style="3"/>
    <col min="6914" max="6914" width="5.42578125" style="3" customWidth="1"/>
    <col min="6915" max="6915" width="18" style="3" customWidth="1"/>
    <col min="6916" max="6916" width="11.85546875" style="3" customWidth="1"/>
    <col min="6917" max="6933" width="9.140625" style="3" customWidth="1"/>
    <col min="6934" max="7169" width="9" style="3"/>
    <col min="7170" max="7170" width="5.42578125" style="3" customWidth="1"/>
    <col min="7171" max="7171" width="18" style="3" customWidth="1"/>
    <col min="7172" max="7172" width="11.85546875" style="3" customWidth="1"/>
    <col min="7173" max="7189" width="9.140625" style="3" customWidth="1"/>
    <col min="7190" max="7425" width="9" style="3"/>
    <col min="7426" max="7426" width="5.42578125" style="3" customWidth="1"/>
    <col min="7427" max="7427" width="18" style="3" customWidth="1"/>
    <col min="7428" max="7428" width="11.85546875" style="3" customWidth="1"/>
    <col min="7429" max="7445" width="9.140625" style="3" customWidth="1"/>
    <col min="7446" max="7681" width="9" style="3"/>
    <col min="7682" max="7682" width="5.42578125" style="3" customWidth="1"/>
    <col min="7683" max="7683" width="18" style="3" customWidth="1"/>
    <col min="7684" max="7684" width="11.85546875" style="3" customWidth="1"/>
    <col min="7685" max="7701" width="9.140625" style="3" customWidth="1"/>
    <col min="7702" max="7937" width="9" style="3"/>
    <col min="7938" max="7938" width="5.42578125" style="3" customWidth="1"/>
    <col min="7939" max="7939" width="18" style="3" customWidth="1"/>
    <col min="7940" max="7940" width="11.85546875" style="3" customWidth="1"/>
    <col min="7941" max="7957" width="9.140625" style="3" customWidth="1"/>
    <col min="7958" max="8193" width="9" style="3"/>
    <col min="8194" max="8194" width="5.42578125" style="3" customWidth="1"/>
    <col min="8195" max="8195" width="18" style="3" customWidth="1"/>
    <col min="8196" max="8196" width="11.85546875" style="3" customWidth="1"/>
    <col min="8197" max="8213" width="9.140625" style="3" customWidth="1"/>
    <col min="8214" max="8449" width="9" style="3"/>
    <col min="8450" max="8450" width="5.42578125" style="3" customWidth="1"/>
    <col min="8451" max="8451" width="18" style="3" customWidth="1"/>
    <col min="8452" max="8452" width="11.85546875" style="3" customWidth="1"/>
    <col min="8453" max="8469" width="9.140625" style="3" customWidth="1"/>
    <col min="8470" max="8705" width="9" style="3"/>
    <col min="8706" max="8706" width="5.42578125" style="3" customWidth="1"/>
    <col min="8707" max="8707" width="18" style="3" customWidth="1"/>
    <col min="8708" max="8708" width="11.85546875" style="3" customWidth="1"/>
    <col min="8709" max="8725" width="9.140625" style="3" customWidth="1"/>
    <col min="8726" max="8961" width="9" style="3"/>
    <col min="8962" max="8962" width="5.42578125" style="3" customWidth="1"/>
    <col min="8963" max="8963" width="18" style="3" customWidth="1"/>
    <col min="8964" max="8964" width="11.85546875" style="3" customWidth="1"/>
    <col min="8965" max="8981" width="9.140625" style="3" customWidth="1"/>
    <col min="8982" max="9217" width="9" style="3"/>
    <col min="9218" max="9218" width="5.42578125" style="3" customWidth="1"/>
    <col min="9219" max="9219" width="18" style="3" customWidth="1"/>
    <col min="9220" max="9220" width="11.85546875" style="3" customWidth="1"/>
    <col min="9221" max="9237" width="9.140625" style="3" customWidth="1"/>
    <col min="9238" max="9473" width="9" style="3"/>
    <col min="9474" max="9474" width="5.42578125" style="3" customWidth="1"/>
    <col min="9475" max="9475" width="18" style="3" customWidth="1"/>
    <col min="9476" max="9476" width="11.85546875" style="3" customWidth="1"/>
    <col min="9477" max="9493" width="9.140625" style="3" customWidth="1"/>
    <col min="9494" max="9729" width="9" style="3"/>
    <col min="9730" max="9730" width="5.42578125" style="3" customWidth="1"/>
    <col min="9731" max="9731" width="18" style="3" customWidth="1"/>
    <col min="9732" max="9732" width="11.85546875" style="3" customWidth="1"/>
    <col min="9733" max="9749" width="9.140625" style="3" customWidth="1"/>
    <col min="9750" max="9985" width="9" style="3"/>
    <col min="9986" max="9986" width="5.42578125" style="3" customWidth="1"/>
    <col min="9987" max="9987" width="18" style="3" customWidth="1"/>
    <col min="9988" max="9988" width="11.85546875" style="3" customWidth="1"/>
    <col min="9989" max="10005" width="9.140625" style="3" customWidth="1"/>
    <col min="10006" max="10241" width="9" style="3"/>
    <col min="10242" max="10242" width="5.42578125" style="3" customWidth="1"/>
    <col min="10243" max="10243" width="18" style="3" customWidth="1"/>
    <col min="10244" max="10244" width="11.85546875" style="3" customWidth="1"/>
    <col min="10245" max="10261" width="9.140625" style="3" customWidth="1"/>
    <col min="10262" max="10497" width="9" style="3"/>
    <col min="10498" max="10498" width="5.42578125" style="3" customWidth="1"/>
    <col min="10499" max="10499" width="18" style="3" customWidth="1"/>
    <col min="10500" max="10500" width="11.85546875" style="3" customWidth="1"/>
    <col min="10501" max="10517" width="9.140625" style="3" customWidth="1"/>
    <col min="10518" max="10753" width="9" style="3"/>
    <col min="10754" max="10754" width="5.42578125" style="3" customWidth="1"/>
    <col min="10755" max="10755" width="18" style="3" customWidth="1"/>
    <col min="10756" max="10756" width="11.85546875" style="3" customWidth="1"/>
    <col min="10757" max="10773" width="9.140625" style="3" customWidth="1"/>
    <col min="10774" max="11009" width="9" style="3"/>
    <col min="11010" max="11010" width="5.42578125" style="3" customWidth="1"/>
    <col min="11011" max="11011" width="18" style="3" customWidth="1"/>
    <col min="11012" max="11012" width="11.85546875" style="3" customWidth="1"/>
    <col min="11013" max="11029" width="9.140625" style="3" customWidth="1"/>
    <col min="11030" max="11265" width="9" style="3"/>
    <col min="11266" max="11266" width="5.42578125" style="3" customWidth="1"/>
    <col min="11267" max="11267" width="18" style="3" customWidth="1"/>
    <col min="11268" max="11268" width="11.85546875" style="3" customWidth="1"/>
    <col min="11269" max="11285" width="9.140625" style="3" customWidth="1"/>
    <col min="11286" max="11521" width="9" style="3"/>
    <col min="11522" max="11522" width="5.42578125" style="3" customWidth="1"/>
    <col min="11523" max="11523" width="18" style="3" customWidth="1"/>
    <col min="11524" max="11524" width="11.85546875" style="3" customWidth="1"/>
    <col min="11525" max="11541" width="9.140625" style="3" customWidth="1"/>
    <col min="11542" max="11777" width="9" style="3"/>
    <col min="11778" max="11778" width="5.42578125" style="3" customWidth="1"/>
    <col min="11779" max="11779" width="18" style="3" customWidth="1"/>
    <col min="11780" max="11780" width="11.85546875" style="3" customWidth="1"/>
    <col min="11781" max="11797" width="9.140625" style="3" customWidth="1"/>
    <col min="11798" max="12033" width="9" style="3"/>
    <col min="12034" max="12034" width="5.42578125" style="3" customWidth="1"/>
    <col min="12035" max="12035" width="18" style="3" customWidth="1"/>
    <col min="12036" max="12036" width="11.85546875" style="3" customWidth="1"/>
    <col min="12037" max="12053" width="9.140625" style="3" customWidth="1"/>
    <col min="12054" max="12289" width="9" style="3"/>
    <col min="12290" max="12290" width="5.42578125" style="3" customWidth="1"/>
    <col min="12291" max="12291" width="18" style="3" customWidth="1"/>
    <col min="12292" max="12292" width="11.85546875" style="3" customWidth="1"/>
    <col min="12293" max="12309" width="9.140625" style="3" customWidth="1"/>
    <col min="12310" max="12545" width="9" style="3"/>
    <col min="12546" max="12546" width="5.42578125" style="3" customWidth="1"/>
    <col min="12547" max="12547" width="18" style="3" customWidth="1"/>
    <col min="12548" max="12548" width="11.85546875" style="3" customWidth="1"/>
    <col min="12549" max="12565" width="9.140625" style="3" customWidth="1"/>
    <col min="12566" max="12801" width="9" style="3"/>
    <col min="12802" max="12802" width="5.42578125" style="3" customWidth="1"/>
    <col min="12803" max="12803" width="18" style="3" customWidth="1"/>
    <col min="12804" max="12804" width="11.85546875" style="3" customWidth="1"/>
    <col min="12805" max="12821" width="9.140625" style="3" customWidth="1"/>
    <col min="12822" max="13057" width="9" style="3"/>
    <col min="13058" max="13058" width="5.42578125" style="3" customWidth="1"/>
    <col min="13059" max="13059" width="18" style="3" customWidth="1"/>
    <col min="13060" max="13060" width="11.85546875" style="3" customWidth="1"/>
    <col min="13061" max="13077" width="9.140625" style="3" customWidth="1"/>
    <col min="13078" max="13313" width="9" style="3"/>
    <col min="13314" max="13314" width="5.42578125" style="3" customWidth="1"/>
    <col min="13315" max="13315" width="18" style="3" customWidth="1"/>
    <col min="13316" max="13316" width="11.85546875" style="3" customWidth="1"/>
    <col min="13317" max="13333" width="9.140625" style="3" customWidth="1"/>
    <col min="13334" max="13569" width="9" style="3"/>
    <col min="13570" max="13570" width="5.42578125" style="3" customWidth="1"/>
    <col min="13571" max="13571" width="18" style="3" customWidth="1"/>
    <col min="13572" max="13572" width="11.85546875" style="3" customWidth="1"/>
    <col min="13573" max="13589" width="9.140625" style="3" customWidth="1"/>
    <col min="13590" max="13825" width="9" style="3"/>
    <col min="13826" max="13826" width="5.42578125" style="3" customWidth="1"/>
    <col min="13827" max="13827" width="18" style="3" customWidth="1"/>
    <col min="13828" max="13828" width="11.85546875" style="3" customWidth="1"/>
    <col min="13829" max="13845" width="9.140625" style="3" customWidth="1"/>
    <col min="13846" max="14081" width="9" style="3"/>
    <col min="14082" max="14082" width="5.42578125" style="3" customWidth="1"/>
    <col min="14083" max="14083" width="18" style="3" customWidth="1"/>
    <col min="14084" max="14084" width="11.85546875" style="3" customWidth="1"/>
    <col min="14085" max="14101" width="9.140625" style="3" customWidth="1"/>
    <col min="14102" max="14337" width="9" style="3"/>
    <col min="14338" max="14338" width="5.42578125" style="3" customWidth="1"/>
    <col min="14339" max="14339" width="18" style="3" customWidth="1"/>
    <col min="14340" max="14340" width="11.85546875" style="3" customWidth="1"/>
    <col min="14341" max="14357" width="9.140625" style="3" customWidth="1"/>
    <col min="14358" max="14593" width="9" style="3"/>
    <col min="14594" max="14594" width="5.42578125" style="3" customWidth="1"/>
    <col min="14595" max="14595" width="18" style="3" customWidth="1"/>
    <col min="14596" max="14596" width="11.85546875" style="3" customWidth="1"/>
    <col min="14597" max="14613" width="9.140625" style="3" customWidth="1"/>
    <col min="14614" max="14849" width="9" style="3"/>
    <col min="14850" max="14850" width="5.42578125" style="3" customWidth="1"/>
    <col min="14851" max="14851" width="18" style="3" customWidth="1"/>
    <col min="14852" max="14852" width="11.85546875" style="3" customWidth="1"/>
    <col min="14853" max="14869" width="9.140625" style="3" customWidth="1"/>
    <col min="14870" max="15105" width="9" style="3"/>
    <col min="15106" max="15106" width="5.42578125" style="3" customWidth="1"/>
    <col min="15107" max="15107" width="18" style="3" customWidth="1"/>
    <col min="15108" max="15108" width="11.85546875" style="3" customWidth="1"/>
    <col min="15109" max="15125" width="9.140625" style="3" customWidth="1"/>
    <col min="15126" max="15361" width="9" style="3"/>
    <col min="15362" max="15362" width="5.42578125" style="3" customWidth="1"/>
    <col min="15363" max="15363" width="18" style="3" customWidth="1"/>
    <col min="15364" max="15364" width="11.85546875" style="3" customWidth="1"/>
    <col min="15365" max="15381" width="9.140625" style="3" customWidth="1"/>
    <col min="15382" max="15617" width="9" style="3"/>
    <col min="15618" max="15618" width="5.42578125" style="3" customWidth="1"/>
    <col min="15619" max="15619" width="18" style="3" customWidth="1"/>
    <col min="15620" max="15620" width="11.85546875" style="3" customWidth="1"/>
    <col min="15621" max="15637" width="9.140625" style="3" customWidth="1"/>
    <col min="15638" max="15873" width="9" style="3"/>
    <col min="15874" max="15874" width="5.42578125" style="3" customWidth="1"/>
    <col min="15875" max="15875" width="18" style="3" customWidth="1"/>
    <col min="15876" max="15876" width="11.85546875" style="3" customWidth="1"/>
    <col min="15877" max="15893" width="9.140625" style="3" customWidth="1"/>
    <col min="15894" max="16129" width="9" style="3"/>
    <col min="16130" max="16130" width="5.42578125" style="3" customWidth="1"/>
    <col min="16131" max="16131" width="18" style="3" customWidth="1"/>
    <col min="16132" max="16132" width="11.85546875" style="3" customWidth="1"/>
    <col min="16133" max="16149" width="9.140625" style="3" customWidth="1"/>
    <col min="16150" max="16384" width="9" style="3"/>
  </cols>
  <sheetData>
    <row r="1" spans="1:23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"/>
      <c r="W1" s="1"/>
    </row>
    <row r="2" spans="1:23" ht="186.7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3" x14ac:dyDescent="0.25">
      <c r="A3" s="133" t="s">
        <v>4</v>
      </c>
      <c r="B3" s="19" t="s">
        <v>41</v>
      </c>
      <c r="C3" s="19" t="s">
        <v>97</v>
      </c>
      <c r="D3" s="19"/>
      <c r="E3" s="19"/>
      <c r="F3" s="16">
        <f>100-(47.25-47.25)/47.25*50</f>
        <v>100</v>
      </c>
      <c r="G3" s="16">
        <f>100-(76.2-76.2)/76.2*50</f>
        <v>100</v>
      </c>
      <c r="H3" s="16">
        <f>100-(58.93-58.93)/58.93*50</f>
        <v>100</v>
      </c>
      <c r="I3" s="16">
        <f>100-(23.28-23.28)/23.28*50</f>
        <v>100</v>
      </c>
      <c r="J3" s="16">
        <f>100-(92.15-92.15)/92.15*50</f>
        <v>100</v>
      </c>
      <c r="K3" s="16">
        <f>100-(32.12-32.12)/32.12*50</f>
        <v>100</v>
      </c>
      <c r="L3" s="16">
        <f>100-(45.55-45.55)/45.55*50</f>
        <v>100</v>
      </c>
      <c r="M3" s="16">
        <f>100-(20.13-20.13)/20.13*50</f>
        <v>100</v>
      </c>
      <c r="N3" s="16">
        <f>100-(77.6-77.6)/77.6*50</f>
        <v>100</v>
      </c>
      <c r="O3" s="16">
        <f>100-(50.98-50.98)/50.98*50</f>
        <v>100</v>
      </c>
      <c r="P3" s="16"/>
      <c r="Q3" s="107">
        <f>100-(59.85-59.85)/59.85*50</f>
        <v>100</v>
      </c>
      <c r="R3" s="19"/>
      <c r="S3" s="50"/>
      <c r="T3" s="50"/>
      <c r="U3" s="134">
        <f>SUM(D3:T3)-Q3</f>
        <v>1000</v>
      </c>
    </row>
    <row r="4" spans="1:23" x14ac:dyDescent="0.25">
      <c r="A4" s="133" t="s">
        <v>6</v>
      </c>
      <c r="B4" s="19" t="s">
        <v>105</v>
      </c>
      <c r="C4" s="19" t="s">
        <v>100</v>
      </c>
      <c r="D4" s="120">
        <f>(F4+H4+J4)/3</f>
        <v>85.92629901081591</v>
      </c>
      <c r="E4" s="122">
        <v>85.93</v>
      </c>
      <c r="F4" s="16">
        <f>100-(55.02-47.25)/47.25*50</f>
        <v>91.777777777777771</v>
      </c>
      <c r="G4" s="107">
        <f>100-(120.32-76.2)/76.2*50</f>
        <v>71.049868766404202</v>
      </c>
      <c r="H4" s="107">
        <f>100-(86.55-58.93)/58.93*50</f>
        <v>76.56541659596131</v>
      </c>
      <c r="I4" s="27"/>
      <c r="J4" s="16">
        <f>100-(111.62-92.15)/92.15*50</f>
        <v>89.435702658708635</v>
      </c>
      <c r="K4" s="16">
        <f>100-(39.88-32.12)/32.12*50</f>
        <v>87.920298879202974</v>
      </c>
      <c r="L4" s="66" t="s">
        <v>12</v>
      </c>
      <c r="M4" s="107">
        <f>100-(29.45-20.13)/20.13*50</f>
        <v>76.850471932439149</v>
      </c>
      <c r="N4" s="16">
        <f>100-(91.2-77.6)/77.6*50</f>
        <v>91.237113402061851</v>
      </c>
      <c r="O4" s="16">
        <f>100-(56.57-50.98)/50.98*50</f>
        <v>94.517457826598658</v>
      </c>
      <c r="P4" s="16">
        <f>100-(69.52-69.52)/69.52*50</f>
        <v>100</v>
      </c>
      <c r="Q4" s="16">
        <f>100-(70.47-59.85)/59.85*50</f>
        <v>91.127819548872182</v>
      </c>
      <c r="R4" s="16">
        <f>100-(66.47-63.08)/63.08*50</f>
        <v>97.312935954343686</v>
      </c>
      <c r="S4" s="66" t="s">
        <v>12</v>
      </c>
      <c r="T4" s="16">
        <f>100-(107.95-89.65)/89.65*50</f>
        <v>89.793641940881201</v>
      </c>
      <c r="U4" s="134">
        <f>SUM(D4:T4)-G4-H4-M4-E4</f>
        <v>919.0490469992626</v>
      </c>
    </row>
    <row r="5" spans="1:23" x14ac:dyDescent="0.25">
      <c r="A5" s="133" t="s">
        <v>8</v>
      </c>
      <c r="B5" s="19" t="s">
        <v>148</v>
      </c>
      <c r="C5" s="19" t="s">
        <v>59</v>
      </c>
      <c r="D5" s="19"/>
      <c r="E5" s="19"/>
      <c r="F5" s="19"/>
      <c r="G5" s="19"/>
      <c r="H5" s="19"/>
      <c r="I5" s="19"/>
      <c r="J5" s="19"/>
      <c r="K5" s="16">
        <f>100-(46.07-32.12)/32.12*50</f>
        <v>78.284557907845567</v>
      </c>
      <c r="L5" s="16">
        <f>100-(59.6-45.55)/45.55*50</f>
        <v>84.577387486278809</v>
      </c>
      <c r="M5" s="16"/>
      <c r="N5" s="16"/>
      <c r="O5" s="16">
        <f>100-(69.73-50.98)/50.98*50</f>
        <v>81.610435464888184</v>
      </c>
      <c r="P5" s="16">
        <f>100-(76.68-69.52)/69.52*50</f>
        <v>94.850402761795152</v>
      </c>
      <c r="Q5" s="16">
        <f>100-(84.62-59.85)/59.85*50</f>
        <v>79.306599832915623</v>
      </c>
      <c r="R5" s="16">
        <f>100-(73.32-63.08)/63.08*50</f>
        <v>91.883322764743184</v>
      </c>
      <c r="S5" s="16">
        <f>100-(124.67-103)/103*50</f>
        <v>89.480582524271838</v>
      </c>
      <c r="T5" s="16"/>
      <c r="U5" s="134">
        <f t="shared" ref="U5:U20" si="0">SUM(D5:T5)</f>
        <v>599.9932887427384</v>
      </c>
    </row>
    <row r="6" spans="1:23" x14ac:dyDescent="0.25">
      <c r="A6" s="133" t="s">
        <v>11</v>
      </c>
      <c r="B6" s="19" t="s">
        <v>36</v>
      </c>
      <c r="C6" s="19" t="s">
        <v>59</v>
      </c>
      <c r="D6" s="19"/>
      <c r="E6" s="19"/>
      <c r="F6" s="19"/>
      <c r="G6" s="16"/>
      <c r="H6" s="16"/>
      <c r="I6" s="27"/>
      <c r="J6" s="19"/>
      <c r="K6" s="28"/>
      <c r="L6" s="16"/>
      <c r="M6" s="28"/>
      <c r="N6" s="84"/>
      <c r="O6" s="16">
        <f>100-(68.35-50.98)/50.98*50</f>
        <v>82.96390741467242</v>
      </c>
      <c r="P6" s="16">
        <f>100-(70.39-69.52)/69.52*50</f>
        <v>99.37428078250862</v>
      </c>
      <c r="Q6" s="16">
        <f>100-(75.03-59.85)/59.85*50</f>
        <v>87.318295739348372</v>
      </c>
      <c r="R6" s="16">
        <f>100-(70.55-63.08)/63.08*50</f>
        <v>94.078947368421055</v>
      </c>
      <c r="S6" s="16">
        <f>100-(116.5-103)/103*50</f>
        <v>93.446601941747574</v>
      </c>
      <c r="T6" s="16"/>
      <c r="U6" s="134">
        <f t="shared" si="0"/>
        <v>457.18203324669804</v>
      </c>
    </row>
    <row r="7" spans="1:23" x14ac:dyDescent="0.25">
      <c r="A7" s="133" t="s">
        <v>13</v>
      </c>
      <c r="B7" s="19" t="s">
        <v>78</v>
      </c>
      <c r="C7" s="19" t="s">
        <v>99</v>
      </c>
      <c r="D7" s="16">
        <f>100-(66.08-65.23)/65.23*50</f>
        <v>99.348459297869084</v>
      </c>
      <c r="E7" s="16">
        <f>100-(125.05-88.93)/88.93*50</f>
        <v>79.69189249971889</v>
      </c>
      <c r="F7" s="16"/>
      <c r="G7" s="16"/>
      <c r="H7" s="16"/>
      <c r="I7" s="16"/>
      <c r="J7" s="16"/>
      <c r="K7" s="16"/>
      <c r="L7" s="16"/>
      <c r="M7" s="16"/>
      <c r="N7" s="27"/>
      <c r="O7" s="16"/>
      <c r="P7" s="16"/>
      <c r="Q7" s="16"/>
      <c r="R7" s="16"/>
      <c r="S7" s="16">
        <f>100-(103-103)/103*50</f>
        <v>100</v>
      </c>
      <c r="T7" s="16">
        <f>100-(89.65-89.65)/89.65*50</f>
        <v>100</v>
      </c>
      <c r="U7" s="134">
        <f t="shared" si="0"/>
        <v>379.04035179758796</v>
      </c>
    </row>
    <row r="8" spans="1:23" x14ac:dyDescent="0.25">
      <c r="A8" s="133" t="s">
        <v>15</v>
      </c>
      <c r="B8" s="19" t="s">
        <v>155</v>
      </c>
      <c r="C8" s="19" t="s">
        <v>7</v>
      </c>
      <c r="D8" s="19"/>
      <c r="E8" s="19"/>
      <c r="F8" s="19"/>
      <c r="G8" s="16"/>
      <c r="H8" s="16"/>
      <c r="I8" s="27"/>
      <c r="J8" s="19"/>
      <c r="K8" s="28"/>
      <c r="L8" s="16"/>
      <c r="M8" s="16">
        <f>100-(27.18-20.13)/20.13*50</f>
        <v>82.488822652757079</v>
      </c>
      <c r="N8" s="16">
        <f>100-(97.93-77.6)/77.6*50</f>
        <v>86.900773195876283</v>
      </c>
      <c r="O8" s="19"/>
      <c r="P8" s="19"/>
      <c r="Q8" s="16">
        <f>100-(77.67-59.85)/59.85*50</f>
        <v>85.112781954887225</v>
      </c>
      <c r="R8" s="16">
        <f>100-(77.22-63.08)/63.08*50</f>
        <v>88.792010145846547</v>
      </c>
      <c r="S8" s="16"/>
      <c r="T8" s="16"/>
      <c r="U8" s="134">
        <f t="shared" si="0"/>
        <v>343.29438794936709</v>
      </c>
    </row>
    <row r="9" spans="1:23" x14ac:dyDescent="0.25">
      <c r="A9" s="133" t="s">
        <v>17</v>
      </c>
      <c r="B9" s="19" t="s">
        <v>79</v>
      </c>
      <c r="C9" s="19"/>
      <c r="D9" s="16">
        <f>100-(83.18-66.08)/66.08*50</f>
        <v>87.061138014527842</v>
      </c>
      <c r="E9" s="66"/>
      <c r="F9" s="16"/>
      <c r="G9" s="16"/>
      <c r="H9" s="16">
        <f>100-(97.28-58.93)/58.93*50</f>
        <v>67.461394875275744</v>
      </c>
      <c r="I9" s="16">
        <f>100-(36.63-23.28)/23.28*50</f>
        <v>71.327319587628864</v>
      </c>
      <c r="J9" s="66"/>
      <c r="K9" s="16"/>
      <c r="L9" s="16"/>
      <c r="M9" s="16"/>
      <c r="N9" s="16"/>
      <c r="O9" s="16"/>
      <c r="P9" s="16"/>
      <c r="Q9" s="16"/>
      <c r="R9" s="16">
        <f>100-(98.7-63.08)/63.08*50</f>
        <v>71.766011414077354</v>
      </c>
      <c r="S9" s="16"/>
      <c r="T9" s="16"/>
      <c r="U9" s="134">
        <f t="shared" si="0"/>
        <v>297.61586389150978</v>
      </c>
    </row>
    <row r="10" spans="1:23" x14ac:dyDescent="0.25">
      <c r="A10" s="133" t="s">
        <v>18</v>
      </c>
      <c r="B10" s="19" t="s">
        <v>137</v>
      </c>
      <c r="C10" s="19" t="s">
        <v>28</v>
      </c>
      <c r="D10" s="19"/>
      <c r="E10" s="19"/>
      <c r="F10" s="19"/>
      <c r="G10" s="19"/>
      <c r="H10" s="19"/>
      <c r="I10" s="19"/>
      <c r="J10" s="16">
        <f>100-(95.57-92.15)/92.15*50</f>
        <v>98.144329896907223</v>
      </c>
      <c r="K10" s="19"/>
      <c r="L10" s="16"/>
      <c r="M10" s="16"/>
      <c r="N10" s="16"/>
      <c r="O10" s="16"/>
      <c r="P10" s="16"/>
      <c r="Q10" s="16">
        <f>100-(62.68-59.85)/59.85*50</f>
        <v>97.635756056808688</v>
      </c>
      <c r="R10" s="16">
        <f>100-(63.08-63.08)/63.08*50</f>
        <v>100</v>
      </c>
      <c r="S10" s="16"/>
      <c r="T10" s="16"/>
      <c r="U10" s="134">
        <f t="shared" si="0"/>
        <v>295.78008595371591</v>
      </c>
    </row>
    <row r="11" spans="1:23" x14ac:dyDescent="0.25">
      <c r="A11" s="133" t="s">
        <v>19</v>
      </c>
      <c r="B11" s="19" t="s">
        <v>127</v>
      </c>
      <c r="C11" s="19" t="s">
        <v>46</v>
      </c>
      <c r="D11" s="16"/>
      <c r="E11" s="50"/>
      <c r="F11" s="19"/>
      <c r="G11" s="19"/>
      <c r="H11" s="16">
        <f>100-(78.48-58.93)/58.93*50</f>
        <v>83.412523332767691</v>
      </c>
      <c r="I11" s="16">
        <f>100-(26.18-23.28)/23.28*50</f>
        <v>93.771477663230243</v>
      </c>
      <c r="J11" s="16">
        <f>100-(107.83-92.15)/92.15*50</f>
        <v>91.492132392837775</v>
      </c>
      <c r="K11" s="16"/>
      <c r="L11" s="19"/>
      <c r="M11" s="19"/>
      <c r="N11" s="16"/>
      <c r="O11" s="16"/>
      <c r="P11" s="16"/>
      <c r="Q11" s="16"/>
      <c r="R11" s="16"/>
      <c r="S11" s="19"/>
      <c r="T11" s="19"/>
      <c r="U11" s="134">
        <f t="shared" si="0"/>
        <v>268.67613338883569</v>
      </c>
    </row>
    <row r="12" spans="1:23" x14ac:dyDescent="0.25">
      <c r="A12" s="133" t="s">
        <v>20</v>
      </c>
      <c r="B12" s="19" t="s">
        <v>96</v>
      </c>
      <c r="C12" s="19" t="s">
        <v>14</v>
      </c>
      <c r="D12" s="16">
        <f>100-(65.23-65.23)/65.23*50</f>
        <v>100</v>
      </c>
      <c r="E12" s="19"/>
      <c r="F12" s="19"/>
      <c r="G12" s="16"/>
      <c r="H12" s="16">
        <f>100-(67.7-58.93)/58.93*50</f>
        <v>92.558968267435944</v>
      </c>
      <c r="I12" s="27"/>
      <c r="J12" s="19"/>
      <c r="K12" s="28"/>
      <c r="L12" s="16"/>
      <c r="M12" s="28"/>
      <c r="N12" s="84"/>
      <c r="O12" s="19"/>
      <c r="P12" s="16"/>
      <c r="Q12" s="16"/>
      <c r="R12" s="19"/>
      <c r="S12" s="16"/>
      <c r="T12" s="16"/>
      <c r="U12" s="134">
        <f t="shared" si="0"/>
        <v>192.55896826743594</v>
      </c>
    </row>
    <row r="13" spans="1:23" x14ac:dyDescent="0.25">
      <c r="A13" s="133" t="s">
        <v>21</v>
      </c>
      <c r="B13" s="19" t="s">
        <v>82</v>
      </c>
      <c r="C13" s="19" t="s">
        <v>46</v>
      </c>
      <c r="D13" s="16">
        <f>100-(68.08-65.23)/65.23*50</f>
        <v>97.815422351678677</v>
      </c>
      <c r="E13" s="16">
        <f>100-(104.13-88.93)/88.93*50</f>
        <v>91.45395254694705</v>
      </c>
      <c r="F13" s="16"/>
      <c r="G13" s="16"/>
      <c r="H13" s="16"/>
      <c r="I13" s="16"/>
      <c r="J13" s="50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34">
        <f t="shared" si="0"/>
        <v>189.26937489862573</v>
      </c>
    </row>
    <row r="14" spans="1:23" x14ac:dyDescent="0.25">
      <c r="A14" s="133" t="s">
        <v>23</v>
      </c>
      <c r="B14" s="19" t="s">
        <v>156</v>
      </c>
      <c r="C14" s="19"/>
      <c r="D14" s="16"/>
      <c r="E14" s="19"/>
      <c r="F14" s="19"/>
      <c r="G14" s="19"/>
      <c r="H14" s="16"/>
      <c r="I14" s="19"/>
      <c r="J14" s="16"/>
      <c r="K14" s="16"/>
      <c r="L14" s="16"/>
      <c r="M14" s="16">
        <f>100-(31.93-20.13)/20.13*50</f>
        <v>70.690511674118227</v>
      </c>
      <c r="N14" s="16">
        <f>100-(108.23-77.6)/77.6*50</f>
        <v>80.264175257731949</v>
      </c>
      <c r="O14" s="19"/>
      <c r="P14" s="19"/>
      <c r="Q14" s="19"/>
      <c r="R14" s="19"/>
      <c r="S14" s="16"/>
      <c r="T14" s="16"/>
      <c r="U14" s="134">
        <f t="shared" si="0"/>
        <v>150.95468693185018</v>
      </c>
    </row>
    <row r="15" spans="1:23" x14ac:dyDescent="0.25">
      <c r="A15" s="133" t="s">
        <v>24</v>
      </c>
      <c r="B15" s="19" t="s">
        <v>61</v>
      </c>
      <c r="C15" s="19" t="s">
        <v>93</v>
      </c>
      <c r="D15" s="66" t="s">
        <v>12</v>
      </c>
      <c r="E15" s="16">
        <f>100-(88.93-88.93)/88.93*50</f>
        <v>100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34">
        <f t="shared" si="0"/>
        <v>100</v>
      </c>
    </row>
    <row r="16" spans="1:23" x14ac:dyDescent="0.25">
      <c r="A16" s="133" t="s">
        <v>25</v>
      </c>
      <c r="B16" s="19" t="s">
        <v>179</v>
      </c>
      <c r="C16" s="19" t="s">
        <v>164</v>
      </c>
      <c r="D16" s="19"/>
      <c r="E16" s="19"/>
      <c r="F16" s="16"/>
      <c r="G16" s="16"/>
      <c r="H16" s="16"/>
      <c r="I16" s="27"/>
      <c r="J16" s="19"/>
      <c r="K16" s="28"/>
      <c r="L16" s="16"/>
      <c r="M16" s="28"/>
      <c r="N16" s="84"/>
      <c r="O16" s="19"/>
      <c r="P16" s="16">
        <f>100-(86.18-69.52)/69.52*50</f>
        <v>88.017836593785958</v>
      </c>
      <c r="Q16" s="16"/>
      <c r="R16" s="19"/>
      <c r="S16" s="16"/>
      <c r="T16" s="16"/>
      <c r="U16" s="134">
        <f t="shared" si="0"/>
        <v>88.017836593785958</v>
      </c>
    </row>
    <row r="17" spans="1:21" x14ac:dyDescent="0.25">
      <c r="A17" s="133" t="s">
        <v>69</v>
      </c>
      <c r="B17" s="19" t="s">
        <v>95</v>
      </c>
      <c r="C17" s="19" t="s">
        <v>59</v>
      </c>
      <c r="D17" s="16"/>
      <c r="E17" s="16">
        <f>100-(130.62-88.93)/88.93*50</f>
        <v>76.56021590014619</v>
      </c>
      <c r="F17" s="19"/>
      <c r="G17" s="16"/>
      <c r="H17" s="16"/>
      <c r="I17" s="16"/>
      <c r="J17" s="16"/>
      <c r="K17" s="16"/>
      <c r="L17" s="19"/>
      <c r="M17" s="19"/>
      <c r="N17" s="16"/>
      <c r="O17" s="16"/>
      <c r="P17" s="16"/>
      <c r="Q17" s="16"/>
      <c r="R17" s="16"/>
      <c r="S17" s="19"/>
      <c r="T17" s="19"/>
      <c r="U17" s="134">
        <f t="shared" si="0"/>
        <v>76.56021590014619</v>
      </c>
    </row>
    <row r="18" spans="1:21" x14ac:dyDescent="0.25">
      <c r="A18" s="133" t="s">
        <v>70</v>
      </c>
      <c r="B18" s="19" t="s">
        <v>157</v>
      </c>
      <c r="C18" s="19"/>
      <c r="D18" s="19"/>
      <c r="E18" s="19"/>
      <c r="F18" s="16"/>
      <c r="G18" s="16"/>
      <c r="H18" s="16"/>
      <c r="I18" s="27"/>
      <c r="J18" s="19"/>
      <c r="K18" s="28"/>
      <c r="L18" s="16"/>
      <c r="M18" s="28"/>
      <c r="N18" s="84"/>
      <c r="O18" s="19"/>
      <c r="P18" s="16">
        <f>100-(103.18-69.52)/69.52*50</f>
        <v>75.791139240506311</v>
      </c>
      <c r="Q18" s="16"/>
      <c r="R18" s="19"/>
      <c r="S18" s="16"/>
      <c r="T18" s="16"/>
      <c r="U18" s="134">
        <f t="shared" si="0"/>
        <v>75.791139240506311</v>
      </c>
    </row>
    <row r="19" spans="1:21" x14ac:dyDescent="0.25">
      <c r="A19" s="133" t="s">
        <v>71</v>
      </c>
      <c r="B19" s="19" t="s">
        <v>104</v>
      </c>
      <c r="C19" s="19" t="s">
        <v>106</v>
      </c>
      <c r="D19" s="19"/>
      <c r="E19" s="19"/>
      <c r="F19" s="16">
        <f>100-(72.57-47.25)/47.25*50</f>
        <v>73.206349206349216</v>
      </c>
      <c r="G19" s="16"/>
      <c r="H19" s="16"/>
      <c r="I19" s="27"/>
      <c r="J19" s="19"/>
      <c r="K19" s="28"/>
      <c r="L19" s="16"/>
      <c r="M19" s="28"/>
      <c r="N19" s="84"/>
      <c r="O19" s="19"/>
      <c r="P19" s="16"/>
      <c r="Q19" s="16"/>
      <c r="R19" s="19"/>
      <c r="S19" s="16"/>
      <c r="T19" s="16"/>
      <c r="U19" s="134">
        <f t="shared" si="0"/>
        <v>73.206349206349216</v>
      </c>
    </row>
    <row r="20" spans="1:21" x14ac:dyDescent="0.25">
      <c r="A20" s="133" t="s">
        <v>72</v>
      </c>
      <c r="B20" s="19" t="s">
        <v>94</v>
      </c>
      <c r="C20" s="19" t="s">
        <v>29</v>
      </c>
      <c r="D20" s="16"/>
      <c r="E20" s="66" t="s">
        <v>12</v>
      </c>
      <c r="F20" s="16"/>
      <c r="G20" s="66"/>
      <c r="H20" s="66"/>
      <c r="I20" s="6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34">
        <f t="shared" si="0"/>
        <v>0</v>
      </c>
    </row>
    <row r="21" spans="1:2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4"/>
      <c r="O21" s="34"/>
      <c r="P21" s="34"/>
      <c r="Q21" s="34"/>
      <c r="R21" s="34"/>
      <c r="S21" s="36"/>
      <c r="T21" s="36"/>
      <c r="U21" s="37"/>
    </row>
    <row r="22" spans="1:2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4"/>
      <c r="O22" s="34"/>
      <c r="P22" s="34"/>
      <c r="Q22" s="34"/>
      <c r="R22" s="34"/>
      <c r="S22" s="2"/>
      <c r="T22" s="2"/>
      <c r="U22" s="37"/>
    </row>
    <row r="23" spans="1:21" x14ac:dyDescent="0.25">
      <c r="A23" s="106" t="s">
        <v>159</v>
      </c>
      <c r="B23" s="10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4"/>
      <c r="O23" s="2"/>
      <c r="P23" s="2"/>
      <c r="Q23" s="2"/>
      <c r="R23" s="2"/>
      <c r="S23" s="2"/>
      <c r="T23" s="2"/>
      <c r="U23" s="2"/>
    </row>
    <row r="24" spans="1:21" s="39" customFormat="1" x14ac:dyDescent="0.25">
      <c r="A24" s="39" t="s">
        <v>26</v>
      </c>
    </row>
    <row r="25" spans="1:21" s="40" customFormat="1" x14ac:dyDescent="0.25">
      <c r="A25" s="40" t="s">
        <v>27</v>
      </c>
    </row>
  </sheetData>
  <sortState ref="B3:V20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A2" sqref="A2:U7"/>
    </sheetView>
  </sheetViews>
  <sheetFormatPr defaultRowHeight="15" x14ac:dyDescent="0.25"/>
  <cols>
    <col min="1" max="1" width="6" customWidth="1"/>
    <col min="2" max="2" width="20.140625" customWidth="1"/>
  </cols>
  <sheetData>
    <row r="1" spans="1:21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</row>
    <row r="2" spans="1:21" ht="173.2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</row>
    <row r="3" spans="1:21" x14ac:dyDescent="0.25">
      <c r="A3" s="133" t="s">
        <v>4</v>
      </c>
      <c r="B3" s="19" t="s">
        <v>36</v>
      </c>
      <c r="C3" s="19" t="s">
        <v>59</v>
      </c>
      <c r="D3" s="16">
        <f>100-(44.6-44.6)/44.6*50</f>
        <v>100</v>
      </c>
      <c r="E3" s="16">
        <f>100-(64.28-64.28)/64.28*50</f>
        <v>100</v>
      </c>
      <c r="F3" s="16"/>
      <c r="G3" s="16"/>
      <c r="H3" s="16">
        <f>100-(42.85-42.85)/42.85*50</f>
        <v>100</v>
      </c>
      <c r="I3" s="16">
        <f>100-(20.38-20.38)/20.38*50</f>
        <v>100</v>
      </c>
      <c r="J3" s="16">
        <f>100-(85.55-85.55)/85.55*50</f>
        <v>100</v>
      </c>
      <c r="K3" s="16">
        <f>100-(56.48-56.48)/56.48*50</f>
        <v>100</v>
      </c>
      <c r="L3" s="16">
        <f>100-(42.12-42.12)/42.12*50</f>
        <v>100</v>
      </c>
      <c r="M3" s="107">
        <f>100-(22.85-22.85)/22.85*50</f>
        <v>100</v>
      </c>
      <c r="N3" s="107">
        <f>100-(67.57-67.57)/67.57*50</f>
        <v>100</v>
      </c>
      <c r="O3" s="16"/>
      <c r="P3" s="16"/>
      <c r="Q3" s="16"/>
      <c r="R3" s="16"/>
      <c r="S3" s="16"/>
      <c r="T3" s="16"/>
      <c r="U3" s="134">
        <f>SUM(D3:T3)-M3-N3</f>
        <v>700</v>
      </c>
    </row>
    <row r="4" spans="1:21" x14ac:dyDescent="0.25">
      <c r="A4" s="133" t="s">
        <v>6</v>
      </c>
      <c r="B4" s="19" t="s">
        <v>43</v>
      </c>
      <c r="C4" s="19" t="s">
        <v>7</v>
      </c>
      <c r="D4" s="16">
        <f>100-(76.37-44.6)/44.6*50</f>
        <v>64.383408071748875</v>
      </c>
      <c r="E4" s="16">
        <f>100-(94.75-64.28)/64.28*50</f>
        <v>76.299004355942756</v>
      </c>
      <c r="F4" s="16"/>
      <c r="G4" s="16"/>
      <c r="H4" s="16"/>
      <c r="I4" s="16"/>
      <c r="J4" s="16"/>
      <c r="K4" s="16"/>
      <c r="L4" s="16"/>
      <c r="M4" s="16"/>
      <c r="N4" s="27"/>
      <c r="O4" s="16"/>
      <c r="P4" s="16"/>
      <c r="Q4" s="16"/>
      <c r="R4" s="16"/>
      <c r="S4" s="16"/>
      <c r="T4" s="16"/>
      <c r="U4" s="134">
        <f>SUM(D4:T4)</f>
        <v>140.68241242769165</v>
      </c>
    </row>
    <row r="5" spans="1:21" x14ac:dyDescent="0.25">
      <c r="A5" s="133" t="s">
        <v>8</v>
      </c>
      <c r="B5" s="19" t="s">
        <v>157</v>
      </c>
      <c r="C5" s="19"/>
      <c r="D5" s="16"/>
      <c r="E5" s="16"/>
      <c r="F5" s="19"/>
      <c r="G5" s="16"/>
      <c r="H5" s="16"/>
      <c r="I5" s="16"/>
      <c r="J5" s="16"/>
      <c r="K5" s="16"/>
      <c r="L5" s="19"/>
      <c r="M5" s="19"/>
      <c r="N5" s="16">
        <f>100-(83.25-67.57)/67.57*50</f>
        <v>88.397217700162784</v>
      </c>
      <c r="O5" s="16"/>
      <c r="P5" s="16"/>
      <c r="Q5" s="16"/>
      <c r="R5" s="16"/>
      <c r="S5" s="19"/>
      <c r="T5" s="19"/>
      <c r="U5" s="134">
        <f>SUM(D5:T5)</f>
        <v>88.397217700162784</v>
      </c>
    </row>
    <row r="6" spans="1:21" x14ac:dyDescent="0.25">
      <c r="A6" s="133" t="s">
        <v>11</v>
      </c>
      <c r="B6" s="19" t="s">
        <v>98</v>
      </c>
      <c r="C6" s="19" t="s">
        <v>28</v>
      </c>
      <c r="D6" s="16">
        <f>100-(75.77-44.6)/44.6*50</f>
        <v>65.056053811659197</v>
      </c>
      <c r="E6" s="16"/>
      <c r="F6" s="16"/>
      <c r="G6" s="66"/>
      <c r="H6" s="66"/>
      <c r="I6" s="6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34">
        <f>SUM(D6:T6)</f>
        <v>65.056053811659197</v>
      </c>
    </row>
    <row r="7" spans="1:21" x14ac:dyDescent="0.25">
      <c r="A7" s="133" t="s">
        <v>13</v>
      </c>
      <c r="B7" s="19" t="s">
        <v>63</v>
      </c>
      <c r="C7" s="19" t="s">
        <v>64</v>
      </c>
      <c r="D7" s="16">
        <f>100-(109.43-44.6)/44.6*50</f>
        <v>27.320627802690566</v>
      </c>
      <c r="E7" s="16">
        <f>100-(158.17-64.28)/64.28*50</f>
        <v>26.967952706907298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34">
        <f>SUM(D7:T7)</f>
        <v>54.288580509597864</v>
      </c>
    </row>
    <row r="9" spans="1:21" s="39" customFormat="1" x14ac:dyDescent="0.25">
      <c r="A9" s="39" t="s">
        <v>26</v>
      </c>
    </row>
    <row r="10" spans="1:21" s="40" customFormat="1" x14ac:dyDescent="0.25">
      <c r="A10" s="40" t="s">
        <v>27</v>
      </c>
    </row>
  </sheetData>
  <sortState ref="B3:V7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R14" sqref="R14"/>
    </sheetView>
  </sheetViews>
  <sheetFormatPr defaultRowHeight="15" x14ac:dyDescent="0.25"/>
  <cols>
    <col min="1" max="1" width="6" customWidth="1"/>
    <col min="2" max="2" width="20.140625" customWidth="1"/>
  </cols>
  <sheetData>
    <row r="1" spans="1:21" ht="34.5" thickBot="1" x14ac:dyDescent="0.3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</row>
    <row r="2" spans="1:21" ht="146.25" customHeight="1" thickBot="1" x14ac:dyDescent="0.3">
      <c r="A2" s="55" t="s">
        <v>0</v>
      </c>
      <c r="B2" s="5" t="s">
        <v>1</v>
      </c>
      <c r="C2" s="6" t="s">
        <v>2</v>
      </c>
      <c r="D2" s="90" t="s">
        <v>83</v>
      </c>
      <c r="E2" s="7" t="s">
        <v>84</v>
      </c>
      <c r="F2" s="90" t="s">
        <v>102</v>
      </c>
      <c r="G2" s="90" t="s">
        <v>103</v>
      </c>
      <c r="H2" s="7" t="s">
        <v>109</v>
      </c>
      <c r="I2" s="7" t="s">
        <v>110</v>
      </c>
      <c r="J2" s="7" t="s">
        <v>111</v>
      </c>
      <c r="K2" s="7" t="s">
        <v>138</v>
      </c>
      <c r="L2" s="7" t="s">
        <v>139</v>
      </c>
      <c r="M2" s="7" t="s">
        <v>152</v>
      </c>
      <c r="N2" s="7" t="s">
        <v>153</v>
      </c>
      <c r="O2" s="7" t="s">
        <v>160</v>
      </c>
      <c r="P2" s="7" t="s">
        <v>161</v>
      </c>
      <c r="Q2" s="7" t="s">
        <v>183</v>
      </c>
      <c r="R2" s="7" t="s">
        <v>184</v>
      </c>
      <c r="S2" s="7" t="s">
        <v>185</v>
      </c>
      <c r="T2" s="7" t="s">
        <v>186</v>
      </c>
      <c r="U2" s="9" t="s">
        <v>3</v>
      </c>
    </row>
    <row r="3" spans="1:21" x14ac:dyDescent="0.25">
      <c r="A3" s="54" t="s">
        <v>4</v>
      </c>
      <c r="B3" s="13" t="s">
        <v>76</v>
      </c>
      <c r="C3" s="14" t="s">
        <v>42</v>
      </c>
      <c r="D3" s="100"/>
      <c r="E3" s="15">
        <f>100-(51.53-51.53)/51.53*50</f>
        <v>100</v>
      </c>
      <c r="F3" s="15"/>
      <c r="G3" s="15"/>
      <c r="H3" s="15"/>
      <c r="I3" s="15"/>
      <c r="J3" s="93"/>
      <c r="K3" s="15"/>
      <c r="L3" s="15"/>
      <c r="M3" s="15"/>
      <c r="N3" s="15"/>
      <c r="O3" s="15"/>
      <c r="P3" s="15"/>
      <c r="Q3" s="15"/>
      <c r="R3" s="15"/>
      <c r="S3" s="16"/>
      <c r="T3" s="16"/>
      <c r="U3" s="49">
        <f>SUM(D3:T3)</f>
        <v>100</v>
      </c>
    </row>
    <row r="5" spans="1:21" s="39" customFormat="1" x14ac:dyDescent="0.25">
      <c r="A5" s="39" t="s">
        <v>26</v>
      </c>
    </row>
    <row r="6" spans="1:21" s="40" customFormat="1" x14ac:dyDescent="0.25">
      <c r="A6" s="40" t="s">
        <v>27</v>
      </c>
    </row>
  </sheetData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zoomScaleNormal="100" workbookViewId="0">
      <selection activeCell="A2" sqref="A2:U10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8.28515625" style="3" customWidth="1"/>
    <col min="4" max="5" width="9.140625" style="3" customWidth="1"/>
    <col min="6" max="6" width="9.140625" style="41" customWidth="1"/>
    <col min="7" max="21" width="9.140625" style="3" customWidth="1"/>
    <col min="22" max="31" width="9" style="2"/>
    <col min="32" max="257" width="9" style="3"/>
    <col min="258" max="258" width="5.140625" style="3" customWidth="1"/>
    <col min="259" max="259" width="19.85546875" style="3" customWidth="1"/>
    <col min="260" max="260" width="11.85546875" style="3" customWidth="1"/>
    <col min="261" max="277" width="9.140625" style="3" customWidth="1"/>
    <col min="278" max="513" width="9" style="3"/>
    <col min="514" max="514" width="5.140625" style="3" customWidth="1"/>
    <col min="515" max="515" width="19.85546875" style="3" customWidth="1"/>
    <col min="516" max="516" width="11.85546875" style="3" customWidth="1"/>
    <col min="517" max="533" width="9.140625" style="3" customWidth="1"/>
    <col min="534" max="769" width="9" style="3"/>
    <col min="770" max="770" width="5.140625" style="3" customWidth="1"/>
    <col min="771" max="771" width="19.85546875" style="3" customWidth="1"/>
    <col min="772" max="772" width="11.85546875" style="3" customWidth="1"/>
    <col min="773" max="789" width="9.140625" style="3" customWidth="1"/>
    <col min="790" max="1025" width="9" style="3"/>
    <col min="1026" max="1026" width="5.140625" style="3" customWidth="1"/>
    <col min="1027" max="1027" width="19.85546875" style="3" customWidth="1"/>
    <col min="1028" max="1028" width="11.85546875" style="3" customWidth="1"/>
    <col min="1029" max="1045" width="9.140625" style="3" customWidth="1"/>
    <col min="1046" max="1281" width="9" style="3"/>
    <col min="1282" max="1282" width="5.140625" style="3" customWidth="1"/>
    <col min="1283" max="1283" width="19.85546875" style="3" customWidth="1"/>
    <col min="1284" max="1284" width="11.85546875" style="3" customWidth="1"/>
    <col min="1285" max="1301" width="9.140625" style="3" customWidth="1"/>
    <col min="1302" max="1537" width="9" style="3"/>
    <col min="1538" max="1538" width="5.140625" style="3" customWidth="1"/>
    <col min="1539" max="1539" width="19.85546875" style="3" customWidth="1"/>
    <col min="1540" max="1540" width="11.85546875" style="3" customWidth="1"/>
    <col min="1541" max="1557" width="9.140625" style="3" customWidth="1"/>
    <col min="1558" max="1793" width="9" style="3"/>
    <col min="1794" max="1794" width="5.140625" style="3" customWidth="1"/>
    <col min="1795" max="1795" width="19.85546875" style="3" customWidth="1"/>
    <col min="1796" max="1796" width="11.85546875" style="3" customWidth="1"/>
    <col min="1797" max="1813" width="9.140625" style="3" customWidth="1"/>
    <col min="1814" max="2049" width="9" style="3"/>
    <col min="2050" max="2050" width="5.140625" style="3" customWidth="1"/>
    <col min="2051" max="2051" width="19.85546875" style="3" customWidth="1"/>
    <col min="2052" max="2052" width="11.85546875" style="3" customWidth="1"/>
    <col min="2053" max="2069" width="9.140625" style="3" customWidth="1"/>
    <col min="2070" max="2305" width="9" style="3"/>
    <col min="2306" max="2306" width="5.140625" style="3" customWidth="1"/>
    <col min="2307" max="2307" width="19.85546875" style="3" customWidth="1"/>
    <col min="2308" max="2308" width="11.85546875" style="3" customWidth="1"/>
    <col min="2309" max="2325" width="9.140625" style="3" customWidth="1"/>
    <col min="2326" max="2561" width="9" style="3"/>
    <col min="2562" max="2562" width="5.140625" style="3" customWidth="1"/>
    <col min="2563" max="2563" width="19.85546875" style="3" customWidth="1"/>
    <col min="2564" max="2564" width="11.85546875" style="3" customWidth="1"/>
    <col min="2565" max="2581" width="9.140625" style="3" customWidth="1"/>
    <col min="2582" max="2817" width="9" style="3"/>
    <col min="2818" max="2818" width="5.140625" style="3" customWidth="1"/>
    <col min="2819" max="2819" width="19.85546875" style="3" customWidth="1"/>
    <col min="2820" max="2820" width="11.85546875" style="3" customWidth="1"/>
    <col min="2821" max="2837" width="9.140625" style="3" customWidth="1"/>
    <col min="2838" max="3073" width="9" style="3"/>
    <col min="3074" max="3074" width="5.140625" style="3" customWidth="1"/>
    <col min="3075" max="3075" width="19.85546875" style="3" customWidth="1"/>
    <col min="3076" max="3076" width="11.85546875" style="3" customWidth="1"/>
    <col min="3077" max="3093" width="9.140625" style="3" customWidth="1"/>
    <col min="3094" max="3329" width="9" style="3"/>
    <col min="3330" max="3330" width="5.140625" style="3" customWidth="1"/>
    <col min="3331" max="3331" width="19.85546875" style="3" customWidth="1"/>
    <col min="3332" max="3332" width="11.85546875" style="3" customWidth="1"/>
    <col min="3333" max="3349" width="9.140625" style="3" customWidth="1"/>
    <col min="3350" max="3585" width="9" style="3"/>
    <col min="3586" max="3586" width="5.140625" style="3" customWidth="1"/>
    <col min="3587" max="3587" width="19.85546875" style="3" customWidth="1"/>
    <col min="3588" max="3588" width="11.85546875" style="3" customWidth="1"/>
    <col min="3589" max="3605" width="9.140625" style="3" customWidth="1"/>
    <col min="3606" max="3841" width="9" style="3"/>
    <col min="3842" max="3842" width="5.140625" style="3" customWidth="1"/>
    <col min="3843" max="3843" width="19.85546875" style="3" customWidth="1"/>
    <col min="3844" max="3844" width="11.85546875" style="3" customWidth="1"/>
    <col min="3845" max="3861" width="9.140625" style="3" customWidth="1"/>
    <col min="3862" max="4097" width="9" style="3"/>
    <col min="4098" max="4098" width="5.140625" style="3" customWidth="1"/>
    <col min="4099" max="4099" width="19.85546875" style="3" customWidth="1"/>
    <col min="4100" max="4100" width="11.85546875" style="3" customWidth="1"/>
    <col min="4101" max="4117" width="9.140625" style="3" customWidth="1"/>
    <col min="4118" max="4353" width="9" style="3"/>
    <col min="4354" max="4354" width="5.140625" style="3" customWidth="1"/>
    <col min="4355" max="4355" width="19.85546875" style="3" customWidth="1"/>
    <col min="4356" max="4356" width="11.85546875" style="3" customWidth="1"/>
    <col min="4357" max="4373" width="9.140625" style="3" customWidth="1"/>
    <col min="4374" max="4609" width="9" style="3"/>
    <col min="4610" max="4610" width="5.140625" style="3" customWidth="1"/>
    <col min="4611" max="4611" width="19.85546875" style="3" customWidth="1"/>
    <col min="4612" max="4612" width="11.85546875" style="3" customWidth="1"/>
    <col min="4613" max="4629" width="9.140625" style="3" customWidth="1"/>
    <col min="4630" max="4865" width="9" style="3"/>
    <col min="4866" max="4866" width="5.140625" style="3" customWidth="1"/>
    <col min="4867" max="4867" width="19.85546875" style="3" customWidth="1"/>
    <col min="4868" max="4868" width="11.85546875" style="3" customWidth="1"/>
    <col min="4869" max="4885" width="9.140625" style="3" customWidth="1"/>
    <col min="4886" max="5121" width="9" style="3"/>
    <col min="5122" max="5122" width="5.140625" style="3" customWidth="1"/>
    <col min="5123" max="5123" width="19.85546875" style="3" customWidth="1"/>
    <col min="5124" max="5124" width="11.85546875" style="3" customWidth="1"/>
    <col min="5125" max="5141" width="9.140625" style="3" customWidth="1"/>
    <col min="5142" max="5377" width="9" style="3"/>
    <col min="5378" max="5378" width="5.140625" style="3" customWidth="1"/>
    <col min="5379" max="5379" width="19.85546875" style="3" customWidth="1"/>
    <col min="5380" max="5380" width="11.85546875" style="3" customWidth="1"/>
    <col min="5381" max="5397" width="9.140625" style="3" customWidth="1"/>
    <col min="5398" max="5633" width="9" style="3"/>
    <col min="5634" max="5634" width="5.140625" style="3" customWidth="1"/>
    <col min="5635" max="5635" width="19.85546875" style="3" customWidth="1"/>
    <col min="5636" max="5636" width="11.85546875" style="3" customWidth="1"/>
    <col min="5637" max="5653" width="9.140625" style="3" customWidth="1"/>
    <col min="5654" max="5889" width="9" style="3"/>
    <col min="5890" max="5890" width="5.140625" style="3" customWidth="1"/>
    <col min="5891" max="5891" width="19.85546875" style="3" customWidth="1"/>
    <col min="5892" max="5892" width="11.85546875" style="3" customWidth="1"/>
    <col min="5893" max="5909" width="9.140625" style="3" customWidth="1"/>
    <col min="5910" max="6145" width="9" style="3"/>
    <col min="6146" max="6146" width="5.140625" style="3" customWidth="1"/>
    <col min="6147" max="6147" width="19.85546875" style="3" customWidth="1"/>
    <col min="6148" max="6148" width="11.85546875" style="3" customWidth="1"/>
    <col min="6149" max="6165" width="9.140625" style="3" customWidth="1"/>
    <col min="6166" max="6401" width="9" style="3"/>
    <col min="6402" max="6402" width="5.140625" style="3" customWidth="1"/>
    <col min="6403" max="6403" width="19.85546875" style="3" customWidth="1"/>
    <col min="6404" max="6404" width="11.85546875" style="3" customWidth="1"/>
    <col min="6405" max="6421" width="9.140625" style="3" customWidth="1"/>
    <col min="6422" max="6657" width="9" style="3"/>
    <col min="6658" max="6658" width="5.140625" style="3" customWidth="1"/>
    <col min="6659" max="6659" width="19.85546875" style="3" customWidth="1"/>
    <col min="6660" max="6660" width="11.85546875" style="3" customWidth="1"/>
    <col min="6661" max="6677" width="9.140625" style="3" customWidth="1"/>
    <col min="6678" max="6913" width="9" style="3"/>
    <col min="6914" max="6914" width="5.140625" style="3" customWidth="1"/>
    <col min="6915" max="6915" width="19.85546875" style="3" customWidth="1"/>
    <col min="6916" max="6916" width="11.85546875" style="3" customWidth="1"/>
    <col min="6917" max="6933" width="9.140625" style="3" customWidth="1"/>
    <col min="6934" max="7169" width="9" style="3"/>
    <col min="7170" max="7170" width="5.140625" style="3" customWidth="1"/>
    <col min="7171" max="7171" width="19.85546875" style="3" customWidth="1"/>
    <col min="7172" max="7172" width="11.85546875" style="3" customWidth="1"/>
    <col min="7173" max="7189" width="9.140625" style="3" customWidth="1"/>
    <col min="7190" max="7425" width="9" style="3"/>
    <col min="7426" max="7426" width="5.140625" style="3" customWidth="1"/>
    <col min="7427" max="7427" width="19.85546875" style="3" customWidth="1"/>
    <col min="7428" max="7428" width="11.85546875" style="3" customWidth="1"/>
    <col min="7429" max="7445" width="9.140625" style="3" customWidth="1"/>
    <col min="7446" max="7681" width="9" style="3"/>
    <col min="7682" max="7682" width="5.140625" style="3" customWidth="1"/>
    <col min="7683" max="7683" width="19.85546875" style="3" customWidth="1"/>
    <col min="7684" max="7684" width="11.85546875" style="3" customWidth="1"/>
    <col min="7685" max="7701" width="9.140625" style="3" customWidth="1"/>
    <col min="7702" max="7937" width="9" style="3"/>
    <col min="7938" max="7938" width="5.140625" style="3" customWidth="1"/>
    <col min="7939" max="7939" width="19.85546875" style="3" customWidth="1"/>
    <col min="7940" max="7940" width="11.85546875" style="3" customWidth="1"/>
    <col min="7941" max="7957" width="9.140625" style="3" customWidth="1"/>
    <col min="7958" max="8193" width="9" style="3"/>
    <col min="8194" max="8194" width="5.140625" style="3" customWidth="1"/>
    <col min="8195" max="8195" width="19.85546875" style="3" customWidth="1"/>
    <col min="8196" max="8196" width="11.85546875" style="3" customWidth="1"/>
    <col min="8197" max="8213" width="9.140625" style="3" customWidth="1"/>
    <col min="8214" max="8449" width="9" style="3"/>
    <col min="8450" max="8450" width="5.140625" style="3" customWidth="1"/>
    <col min="8451" max="8451" width="19.85546875" style="3" customWidth="1"/>
    <col min="8452" max="8452" width="11.85546875" style="3" customWidth="1"/>
    <col min="8453" max="8469" width="9.140625" style="3" customWidth="1"/>
    <col min="8470" max="8705" width="9" style="3"/>
    <col min="8706" max="8706" width="5.140625" style="3" customWidth="1"/>
    <col min="8707" max="8707" width="19.85546875" style="3" customWidth="1"/>
    <col min="8708" max="8708" width="11.85546875" style="3" customWidth="1"/>
    <col min="8709" max="8725" width="9.140625" style="3" customWidth="1"/>
    <col min="8726" max="8961" width="9" style="3"/>
    <col min="8962" max="8962" width="5.140625" style="3" customWidth="1"/>
    <col min="8963" max="8963" width="19.85546875" style="3" customWidth="1"/>
    <col min="8964" max="8964" width="11.85546875" style="3" customWidth="1"/>
    <col min="8965" max="8981" width="9.140625" style="3" customWidth="1"/>
    <col min="8982" max="9217" width="9" style="3"/>
    <col min="9218" max="9218" width="5.140625" style="3" customWidth="1"/>
    <col min="9219" max="9219" width="19.85546875" style="3" customWidth="1"/>
    <col min="9220" max="9220" width="11.85546875" style="3" customWidth="1"/>
    <col min="9221" max="9237" width="9.140625" style="3" customWidth="1"/>
    <col min="9238" max="9473" width="9" style="3"/>
    <col min="9474" max="9474" width="5.140625" style="3" customWidth="1"/>
    <col min="9475" max="9475" width="19.85546875" style="3" customWidth="1"/>
    <col min="9476" max="9476" width="11.85546875" style="3" customWidth="1"/>
    <col min="9477" max="9493" width="9.140625" style="3" customWidth="1"/>
    <col min="9494" max="9729" width="9" style="3"/>
    <col min="9730" max="9730" width="5.140625" style="3" customWidth="1"/>
    <col min="9731" max="9731" width="19.85546875" style="3" customWidth="1"/>
    <col min="9732" max="9732" width="11.85546875" style="3" customWidth="1"/>
    <col min="9733" max="9749" width="9.140625" style="3" customWidth="1"/>
    <col min="9750" max="9985" width="9" style="3"/>
    <col min="9986" max="9986" width="5.140625" style="3" customWidth="1"/>
    <col min="9987" max="9987" width="19.85546875" style="3" customWidth="1"/>
    <col min="9988" max="9988" width="11.85546875" style="3" customWidth="1"/>
    <col min="9989" max="10005" width="9.140625" style="3" customWidth="1"/>
    <col min="10006" max="10241" width="9" style="3"/>
    <col min="10242" max="10242" width="5.140625" style="3" customWidth="1"/>
    <col min="10243" max="10243" width="19.85546875" style="3" customWidth="1"/>
    <col min="10244" max="10244" width="11.85546875" style="3" customWidth="1"/>
    <col min="10245" max="10261" width="9.140625" style="3" customWidth="1"/>
    <col min="10262" max="10497" width="9" style="3"/>
    <col min="10498" max="10498" width="5.140625" style="3" customWidth="1"/>
    <col min="10499" max="10499" width="19.85546875" style="3" customWidth="1"/>
    <col min="10500" max="10500" width="11.85546875" style="3" customWidth="1"/>
    <col min="10501" max="10517" width="9.140625" style="3" customWidth="1"/>
    <col min="10518" max="10753" width="9" style="3"/>
    <col min="10754" max="10754" width="5.140625" style="3" customWidth="1"/>
    <col min="10755" max="10755" width="19.85546875" style="3" customWidth="1"/>
    <col min="10756" max="10756" width="11.85546875" style="3" customWidth="1"/>
    <col min="10757" max="10773" width="9.140625" style="3" customWidth="1"/>
    <col min="10774" max="11009" width="9" style="3"/>
    <col min="11010" max="11010" width="5.140625" style="3" customWidth="1"/>
    <col min="11011" max="11011" width="19.85546875" style="3" customWidth="1"/>
    <col min="11012" max="11012" width="11.85546875" style="3" customWidth="1"/>
    <col min="11013" max="11029" width="9.140625" style="3" customWidth="1"/>
    <col min="11030" max="11265" width="9" style="3"/>
    <col min="11266" max="11266" width="5.140625" style="3" customWidth="1"/>
    <col min="11267" max="11267" width="19.85546875" style="3" customWidth="1"/>
    <col min="11268" max="11268" width="11.85546875" style="3" customWidth="1"/>
    <col min="11269" max="11285" width="9.140625" style="3" customWidth="1"/>
    <col min="11286" max="11521" width="9" style="3"/>
    <col min="11522" max="11522" width="5.140625" style="3" customWidth="1"/>
    <col min="11523" max="11523" width="19.85546875" style="3" customWidth="1"/>
    <col min="11524" max="11524" width="11.85546875" style="3" customWidth="1"/>
    <col min="11525" max="11541" width="9.140625" style="3" customWidth="1"/>
    <col min="11542" max="11777" width="9" style="3"/>
    <col min="11778" max="11778" width="5.140625" style="3" customWidth="1"/>
    <col min="11779" max="11779" width="19.85546875" style="3" customWidth="1"/>
    <col min="11780" max="11780" width="11.85546875" style="3" customWidth="1"/>
    <col min="11781" max="11797" width="9.140625" style="3" customWidth="1"/>
    <col min="11798" max="12033" width="9" style="3"/>
    <col min="12034" max="12034" width="5.140625" style="3" customWidth="1"/>
    <col min="12035" max="12035" width="19.85546875" style="3" customWidth="1"/>
    <col min="12036" max="12036" width="11.85546875" style="3" customWidth="1"/>
    <col min="12037" max="12053" width="9.140625" style="3" customWidth="1"/>
    <col min="12054" max="12289" width="9" style="3"/>
    <col min="12290" max="12290" width="5.140625" style="3" customWidth="1"/>
    <col min="12291" max="12291" width="19.85546875" style="3" customWidth="1"/>
    <col min="12292" max="12292" width="11.85546875" style="3" customWidth="1"/>
    <col min="12293" max="12309" width="9.140625" style="3" customWidth="1"/>
    <col min="12310" max="12545" width="9" style="3"/>
    <col min="12546" max="12546" width="5.140625" style="3" customWidth="1"/>
    <col min="12547" max="12547" width="19.85546875" style="3" customWidth="1"/>
    <col min="12548" max="12548" width="11.85546875" style="3" customWidth="1"/>
    <col min="12549" max="12565" width="9.140625" style="3" customWidth="1"/>
    <col min="12566" max="12801" width="9" style="3"/>
    <col min="12802" max="12802" width="5.140625" style="3" customWidth="1"/>
    <col min="12803" max="12803" width="19.85546875" style="3" customWidth="1"/>
    <col min="12804" max="12804" width="11.85546875" style="3" customWidth="1"/>
    <col min="12805" max="12821" width="9.140625" style="3" customWidth="1"/>
    <col min="12822" max="13057" width="9" style="3"/>
    <col min="13058" max="13058" width="5.140625" style="3" customWidth="1"/>
    <col min="13059" max="13059" width="19.85546875" style="3" customWidth="1"/>
    <col min="13060" max="13060" width="11.85546875" style="3" customWidth="1"/>
    <col min="13061" max="13077" width="9.140625" style="3" customWidth="1"/>
    <col min="13078" max="13313" width="9" style="3"/>
    <col min="13314" max="13314" width="5.140625" style="3" customWidth="1"/>
    <col min="13315" max="13315" width="19.85546875" style="3" customWidth="1"/>
    <col min="13316" max="13316" width="11.85546875" style="3" customWidth="1"/>
    <col min="13317" max="13333" width="9.140625" style="3" customWidth="1"/>
    <col min="13334" max="13569" width="9" style="3"/>
    <col min="13570" max="13570" width="5.140625" style="3" customWidth="1"/>
    <col min="13571" max="13571" width="19.85546875" style="3" customWidth="1"/>
    <col min="13572" max="13572" width="11.85546875" style="3" customWidth="1"/>
    <col min="13573" max="13589" width="9.140625" style="3" customWidth="1"/>
    <col min="13590" max="13825" width="9" style="3"/>
    <col min="13826" max="13826" width="5.140625" style="3" customWidth="1"/>
    <col min="13827" max="13827" width="19.85546875" style="3" customWidth="1"/>
    <col min="13828" max="13828" width="11.85546875" style="3" customWidth="1"/>
    <col min="13829" max="13845" width="9.140625" style="3" customWidth="1"/>
    <col min="13846" max="14081" width="9" style="3"/>
    <col min="14082" max="14082" width="5.140625" style="3" customWidth="1"/>
    <col min="14083" max="14083" width="19.85546875" style="3" customWidth="1"/>
    <col min="14084" max="14084" width="11.85546875" style="3" customWidth="1"/>
    <col min="14085" max="14101" width="9.140625" style="3" customWidth="1"/>
    <col min="14102" max="14337" width="9" style="3"/>
    <col min="14338" max="14338" width="5.140625" style="3" customWidth="1"/>
    <col min="14339" max="14339" width="19.85546875" style="3" customWidth="1"/>
    <col min="14340" max="14340" width="11.85546875" style="3" customWidth="1"/>
    <col min="14341" max="14357" width="9.140625" style="3" customWidth="1"/>
    <col min="14358" max="14593" width="9" style="3"/>
    <col min="14594" max="14594" width="5.140625" style="3" customWidth="1"/>
    <col min="14595" max="14595" width="19.85546875" style="3" customWidth="1"/>
    <col min="14596" max="14596" width="11.85546875" style="3" customWidth="1"/>
    <col min="14597" max="14613" width="9.140625" style="3" customWidth="1"/>
    <col min="14614" max="14849" width="9" style="3"/>
    <col min="14850" max="14850" width="5.140625" style="3" customWidth="1"/>
    <col min="14851" max="14851" width="19.85546875" style="3" customWidth="1"/>
    <col min="14852" max="14852" width="11.85546875" style="3" customWidth="1"/>
    <col min="14853" max="14869" width="9.140625" style="3" customWidth="1"/>
    <col min="14870" max="15105" width="9" style="3"/>
    <col min="15106" max="15106" width="5.140625" style="3" customWidth="1"/>
    <col min="15107" max="15107" width="19.85546875" style="3" customWidth="1"/>
    <col min="15108" max="15108" width="11.85546875" style="3" customWidth="1"/>
    <col min="15109" max="15125" width="9.140625" style="3" customWidth="1"/>
    <col min="15126" max="15361" width="9" style="3"/>
    <col min="15362" max="15362" width="5.140625" style="3" customWidth="1"/>
    <col min="15363" max="15363" width="19.85546875" style="3" customWidth="1"/>
    <col min="15364" max="15364" width="11.85546875" style="3" customWidth="1"/>
    <col min="15365" max="15381" width="9.140625" style="3" customWidth="1"/>
    <col min="15382" max="15617" width="9" style="3"/>
    <col min="15618" max="15618" width="5.140625" style="3" customWidth="1"/>
    <col min="15619" max="15619" width="19.85546875" style="3" customWidth="1"/>
    <col min="15620" max="15620" width="11.85546875" style="3" customWidth="1"/>
    <col min="15621" max="15637" width="9.140625" style="3" customWidth="1"/>
    <col min="15638" max="15873" width="9" style="3"/>
    <col min="15874" max="15874" width="5.140625" style="3" customWidth="1"/>
    <col min="15875" max="15875" width="19.85546875" style="3" customWidth="1"/>
    <col min="15876" max="15876" width="11.85546875" style="3" customWidth="1"/>
    <col min="15877" max="15893" width="9.140625" style="3" customWidth="1"/>
    <col min="15894" max="16129" width="9" style="3"/>
    <col min="16130" max="16130" width="5.140625" style="3" customWidth="1"/>
    <col min="16131" max="16131" width="19.85546875" style="3" customWidth="1"/>
    <col min="16132" max="16132" width="11.85546875" style="3" customWidth="1"/>
    <col min="16133" max="16149" width="9.140625" style="3" customWidth="1"/>
    <col min="16150" max="16384" width="9" style="3"/>
  </cols>
  <sheetData>
    <row r="1" spans="1:23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"/>
      <c r="W1" s="1"/>
    </row>
    <row r="2" spans="1:23" ht="177.7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3" x14ac:dyDescent="0.25">
      <c r="A3" s="133" t="s">
        <v>4</v>
      </c>
      <c r="B3" s="19" t="s">
        <v>54</v>
      </c>
      <c r="C3" s="19" t="s">
        <v>34</v>
      </c>
      <c r="D3" s="16"/>
      <c r="E3" s="16"/>
      <c r="F3" s="16">
        <f>100-(54.75-54.75)/54.75*50</f>
        <v>100</v>
      </c>
      <c r="G3" s="16">
        <f>100-(86.48-86.48)/86.48*50</f>
        <v>100</v>
      </c>
      <c r="H3" s="16"/>
      <c r="I3" s="120">
        <v>100</v>
      </c>
      <c r="J3" s="120">
        <v>100</v>
      </c>
      <c r="K3" s="16">
        <f>100-(31.82-31.82)/31.82*50</f>
        <v>100</v>
      </c>
      <c r="L3" s="16">
        <f>100-(51.93-51.93)/51.93*50</f>
        <v>100</v>
      </c>
      <c r="M3" s="16">
        <f>100-(12.23-12.23)/12.23*50</f>
        <v>100</v>
      </c>
      <c r="N3" s="16">
        <f>100-(32.67-32.67)/32.67*50</f>
        <v>100</v>
      </c>
      <c r="O3" s="16"/>
      <c r="P3" s="16"/>
      <c r="Q3" s="107">
        <f>100-(66.97-55.28)/55.28*50</f>
        <v>89.426555716353107</v>
      </c>
      <c r="R3" s="107">
        <f>100-(76.28-53.6)/53.6*50</f>
        <v>78.843283582089555</v>
      </c>
      <c r="S3" s="16"/>
      <c r="T3" s="16"/>
      <c r="U3" s="134">
        <f>SUM(D3:T3)-Q3-R3</f>
        <v>800</v>
      </c>
    </row>
    <row r="4" spans="1:23" x14ac:dyDescent="0.25">
      <c r="A4" s="133" t="s">
        <v>6</v>
      </c>
      <c r="B4" s="19" t="s">
        <v>41</v>
      </c>
      <c r="C4" s="19" t="s">
        <v>97</v>
      </c>
      <c r="D4" s="16">
        <f>100-(51.65-51.47)/51.47*50</f>
        <v>99.825140858752675</v>
      </c>
      <c r="E4" s="16">
        <f>100-(64.75-64.75)/64.75*50</f>
        <v>100</v>
      </c>
      <c r="F4" s="16"/>
      <c r="G4" s="16"/>
      <c r="H4" s="19"/>
      <c r="I4" s="19"/>
      <c r="J4" s="16"/>
      <c r="K4" s="16"/>
      <c r="L4" s="16"/>
      <c r="M4" s="16"/>
      <c r="N4" s="19"/>
      <c r="O4" s="19"/>
      <c r="P4" s="16"/>
      <c r="Q4" s="16"/>
      <c r="R4" s="16">
        <f>100-(53.6-53.6)/53.6*50</f>
        <v>100</v>
      </c>
      <c r="S4" s="16">
        <f>100-(76.15-76.15)/76.15*50</f>
        <v>100</v>
      </c>
      <c r="T4" s="16">
        <f>100-(69-69)/69*50</f>
        <v>100</v>
      </c>
      <c r="U4" s="134">
        <f t="shared" ref="U4:U10" si="0">SUM(D4:T4)</f>
        <v>499.82514085875266</v>
      </c>
    </row>
    <row r="5" spans="1:23" x14ac:dyDescent="0.25">
      <c r="A5" s="133" t="s">
        <v>8</v>
      </c>
      <c r="B5" s="19" t="s">
        <v>107</v>
      </c>
      <c r="C5" s="19" t="s">
        <v>108</v>
      </c>
      <c r="D5" s="19"/>
      <c r="E5" s="16"/>
      <c r="F5" s="66" t="s">
        <v>12</v>
      </c>
      <c r="G5" s="16">
        <f>100-(116.85-86.48)/86.48*50</f>
        <v>82.441026827012024</v>
      </c>
      <c r="H5" s="16"/>
      <c r="I5" s="123">
        <v>75.44</v>
      </c>
      <c r="J5" s="120">
        <v>75.44</v>
      </c>
      <c r="K5" s="16">
        <f>100-(45.93-31.82)/31.82*50</f>
        <v>77.828409805153996</v>
      </c>
      <c r="L5" s="16">
        <f>100-(87.18-51.93)/51.93*50</f>
        <v>66.06008087810514</v>
      </c>
      <c r="M5" s="19"/>
      <c r="N5" s="16"/>
      <c r="O5" s="16"/>
      <c r="P5" s="16"/>
      <c r="Q5" s="16">
        <f>100-(102-55.28)/55.28*50</f>
        <v>57.74240231548481</v>
      </c>
      <c r="R5" s="66" t="s">
        <v>12</v>
      </c>
      <c r="S5" s="16"/>
      <c r="T5" s="16"/>
      <c r="U5" s="134">
        <f t="shared" si="0"/>
        <v>434.95191982575602</v>
      </c>
    </row>
    <row r="6" spans="1:23" x14ac:dyDescent="0.25">
      <c r="A6" s="133" t="s">
        <v>11</v>
      </c>
      <c r="B6" s="19" t="s">
        <v>62</v>
      </c>
      <c r="C6" s="19" t="s">
        <v>46</v>
      </c>
      <c r="D6" s="16">
        <f>100-(51.47-51.47)/51.47*50</f>
        <v>100</v>
      </c>
      <c r="E6" s="16">
        <f>100-(90.77-64.75)/64.75*50</f>
        <v>79.907335907335906</v>
      </c>
      <c r="F6" s="16"/>
      <c r="G6" s="16"/>
      <c r="H6" s="19"/>
      <c r="I6" s="19"/>
      <c r="J6" s="16"/>
      <c r="K6" s="16"/>
      <c r="L6" s="16"/>
      <c r="M6" s="16"/>
      <c r="N6" s="19"/>
      <c r="O6" s="19"/>
      <c r="P6" s="16"/>
      <c r="Q6" s="16">
        <f>100-(55.28-55.28)/55.28*50</f>
        <v>100</v>
      </c>
      <c r="R6" s="16">
        <f>100-(62.05-53.6)/53.6*50</f>
        <v>92.117537313432834</v>
      </c>
      <c r="S6" s="16"/>
      <c r="T6" s="16"/>
      <c r="U6" s="134">
        <f t="shared" si="0"/>
        <v>372.02487322076871</v>
      </c>
    </row>
    <row r="7" spans="1:23" x14ac:dyDescent="0.25">
      <c r="A7" s="133" t="s">
        <v>13</v>
      </c>
      <c r="B7" s="19" t="s">
        <v>43</v>
      </c>
      <c r="C7" s="19" t="s">
        <v>7</v>
      </c>
      <c r="D7" s="16"/>
      <c r="E7" s="66"/>
      <c r="F7" s="16">
        <f>100-(94.48-54.75)/54.75*50</f>
        <v>63.716894977168948</v>
      </c>
      <c r="G7" s="16">
        <f>100-(115.12-86.48)/86.48*50</f>
        <v>83.441258094357082</v>
      </c>
      <c r="H7" s="19"/>
      <c r="I7" s="19"/>
      <c r="J7" s="16"/>
      <c r="K7" s="16"/>
      <c r="L7" s="16"/>
      <c r="M7" s="16">
        <f>100-(21.4-12.23)/12.23*50</f>
        <v>62.510220768601812</v>
      </c>
      <c r="N7" s="16">
        <f>100-(39.2-32.67)/32.67*50</f>
        <v>90.006121824303648</v>
      </c>
      <c r="O7" s="16"/>
      <c r="P7" s="16"/>
      <c r="Q7" s="16"/>
      <c r="R7" s="16"/>
      <c r="S7" s="66" t="s">
        <v>12</v>
      </c>
      <c r="T7" s="16"/>
      <c r="U7" s="134">
        <f t="shared" si="0"/>
        <v>299.6744956644315</v>
      </c>
    </row>
    <row r="8" spans="1:23" x14ac:dyDescent="0.25">
      <c r="A8" s="133" t="s">
        <v>15</v>
      </c>
      <c r="B8" s="19" t="s">
        <v>158</v>
      </c>
      <c r="C8" s="19"/>
      <c r="D8" s="16"/>
      <c r="E8" s="66"/>
      <c r="F8" s="28"/>
      <c r="G8" s="19"/>
      <c r="H8" s="19"/>
      <c r="I8" s="19"/>
      <c r="J8" s="16"/>
      <c r="K8" s="16"/>
      <c r="L8" s="16"/>
      <c r="M8" s="16">
        <f>100-(15.18-12.23)/12.23*50</f>
        <v>87.939493049877356</v>
      </c>
      <c r="N8" s="16">
        <f>100-(59.52-32.67)/32.67*50</f>
        <v>58.907254361799815</v>
      </c>
      <c r="O8" s="16"/>
      <c r="P8" s="16"/>
      <c r="Q8" s="16"/>
      <c r="R8" s="16"/>
      <c r="S8" s="19"/>
      <c r="T8" s="19"/>
      <c r="U8" s="134">
        <f t="shared" si="0"/>
        <v>146.84674741167717</v>
      </c>
    </row>
    <row r="9" spans="1:23" x14ac:dyDescent="0.25">
      <c r="A9" s="133" t="s">
        <v>17</v>
      </c>
      <c r="B9" s="19" t="s">
        <v>128</v>
      </c>
      <c r="C9" s="19" t="s">
        <v>42</v>
      </c>
      <c r="D9" s="16"/>
      <c r="E9" s="66"/>
      <c r="F9" s="28"/>
      <c r="G9" s="19"/>
      <c r="H9" s="19"/>
      <c r="I9" s="19"/>
      <c r="J9" s="16">
        <f>100-(107.38-107.38)/107.38*50</f>
        <v>100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34">
        <f t="shared" si="0"/>
        <v>100</v>
      </c>
    </row>
    <row r="10" spans="1:23" x14ac:dyDescent="0.25">
      <c r="A10" s="133" t="s">
        <v>18</v>
      </c>
      <c r="B10" s="19" t="s">
        <v>149</v>
      </c>
      <c r="C10" s="19" t="s">
        <v>150</v>
      </c>
      <c r="D10" s="16"/>
      <c r="E10" s="16"/>
      <c r="F10" s="16"/>
      <c r="G10" s="16"/>
      <c r="H10" s="19"/>
      <c r="I10" s="19"/>
      <c r="J10" s="16"/>
      <c r="K10" s="16">
        <f>100-(43.55-31.82)/31.82*50</f>
        <v>81.568196103079828</v>
      </c>
      <c r="L10" s="16"/>
      <c r="M10" s="16"/>
      <c r="N10" s="19"/>
      <c r="O10" s="19"/>
      <c r="P10" s="19"/>
      <c r="Q10" s="19"/>
      <c r="R10" s="19"/>
      <c r="S10" s="16"/>
      <c r="T10" s="16"/>
      <c r="U10" s="134">
        <f t="shared" si="0"/>
        <v>81.568196103079828</v>
      </c>
    </row>
    <row r="11" spans="1:23" x14ac:dyDescent="0.25">
      <c r="A11" s="2"/>
      <c r="B11" s="2"/>
      <c r="C11" s="2"/>
      <c r="D11" s="2"/>
      <c r="E11" s="2"/>
      <c r="F11" s="38"/>
      <c r="G11" s="2"/>
      <c r="H11" s="2"/>
      <c r="I11" s="2"/>
      <c r="J11" s="2"/>
      <c r="K11" s="2"/>
      <c r="L11" s="2"/>
      <c r="M11" s="2"/>
      <c r="N11" s="34"/>
      <c r="O11" s="34"/>
      <c r="P11" s="34"/>
      <c r="Q11" s="34"/>
      <c r="R11" s="34"/>
      <c r="S11" s="2"/>
      <c r="T11" s="2"/>
      <c r="U11" s="37"/>
    </row>
    <row r="12" spans="1:23" x14ac:dyDescent="0.25">
      <c r="A12" s="106" t="s">
        <v>159</v>
      </c>
      <c r="B12" s="106"/>
      <c r="C12" s="2"/>
      <c r="D12" s="2"/>
      <c r="E12" s="2"/>
      <c r="F12" s="3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s="39" customFormat="1" x14ac:dyDescent="0.25">
      <c r="A13" s="39" t="s">
        <v>26</v>
      </c>
    </row>
    <row r="14" spans="1:23" s="40" customFormat="1" x14ac:dyDescent="0.25">
      <c r="A14" s="40" t="s">
        <v>27</v>
      </c>
    </row>
  </sheetData>
  <sortState ref="B3:V10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workbookViewId="0">
      <selection activeCell="H14" sqref="H14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8.28515625" style="3" customWidth="1"/>
    <col min="4" max="5" width="9.140625" style="3" customWidth="1"/>
    <col min="6" max="6" width="9.140625" style="41" customWidth="1"/>
    <col min="7" max="21" width="9.140625" style="3" customWidth="1"/>
    <col min="22" max="31" width="9" style="2"/>
    <col min="32" max="257" width="9" style="3"/>
    <col min="258" max="258" width="5.140625" style="3" customWidth="1"/>
    <col min="259" max="259" width="19.85546875" style="3" customWidth="1"/>
    <col min="260" max="260" width="11.85546875" style="3" customWidth="1"/>
    <col min="261" max="277" width="9.140625" style="3" customWidth="1"/>
    <col min="278" max="513" width="9" style="3"/>
    <col min="514" max="514" width="5.140625" style="3" customWidth="1"/>
    <col min="515" max="515" width="19.85546875" style="3" customWidth="1"/>
    <col min="516" max="516" width="11.85546875" style="3" customWidth="1"/>
    <col min="517" max="533" width="9.140625" style="3" customWidth="1"/>
    <col min="534" max="769" width="9" style="3"/>
    <col min="770" max="770" width="5.140625" style="3" customWidth="1"/>
    <col min="771" max="771" width="19.85546875" style="3" customWidth="1"/>
    <col min="772" max="772" width="11.85546875" style="3" customWidth="1"/>
    <col min="773" max="789" width="9.140625" style="3" customWidth="1"/>
    <col min="790" max="1025" width="9" style="3"/>
    <col min="1026" max="1026" width="5.140625" style="3" customWidth="1"/>
    <col min="1027" max="1027" width="19.85546875" style="3" customWidth="1"/>
    <col min="1028" max="1028" width="11.85546875" style="3" customWidth="1"/>
    <col min="1029" max="1045" width="9.140625" style="3" customWidth="1"/>
    <col min="1046" max="1281" width="9" style="3"/>
    <col min="1282" max="1282" width="5.140625" style="3" customWidth="1"/>
    <col min="1283" max="1283" width="19.85546875" style="3" customWidth="1"/>
    <col min="1284" max="1284" width="11.85546875" style="3" customWidth="1"/>
    <col min="1285" max="1301" width="9.140625" style="3" customWidth="1"/>
    <col min="1302" max="1537" width="9" style="3"/>
    <col min="1538" max="1538" width="5.140625" style="3" customWidth="1"/>
    <col min="1539" max="1539" width="19.85546875" style="3" customWidth="1"/>
    <col min="1540" max="1540" width="11.85546875" style="3" customWidth="1"/>
    <col min="1541" max="1557" width="9.140625" style="3" customWidth="1"/>
    <col min="1558" max="1793" width="9" style="3"/>
    <col min="1794" max="1794" width="5.140625" style="3" customWidth="1"/>
    <col min="1795" max="1795" width="19.85546875" style="3" customWidth="1"/>
    <col min="1796" max="1796" width="11.85546875" style="3" customWidth="1"/>
    <col min="1797" max="1813" width="9.140625" style="3" customWidth="1"/>
    <col min="1814" max="2049" width="9" style="3"/>
    <col min="2050" max="2050" width="5.140625" style="3" customWidth="1"/>
    <col min="2051" max="2051" width="19.85546875" style="3" customWidth="1"/>
    <col min="2052" max="2052" width="11.85546875" style="3" customWidth="1"/>
    <col min="2053" max="2069" width="9.140625" style="3" customWidth="1"/>
    <col min="2070" max="2305" width="9" style="3"/>
    <col min="2306" max="2306" width="5.140625" style="3" customWidth="1"/>
    <col min="2307" max="2307" width="19.85546875" style="3" customWidth="1"/>
    <col min="2308" max="2308" width="11.85546875" style="3" customWidth="1"/>
    <col min="2309" max="2325" width="9.140625" style="3" customWidth="1"/>
    <col min="2326" max="2561" width="9" style="3"/>
    <col min="2562" max="2562" width="5.140625" style="3" customWidth="1"/>
    <col min="2563" max="2563" width="19.85546875" style="3" customWidth="1"/>
    <col min="2564" max="2564" width="11.85546875" style="3" customWidth="1"/>
    <col min="2565" max="2581" width="9.140625" style="3" customWidth="1"/>
    <col min="2582" max="2817" width="9" style="3"/>
    <col min="2818" max="2818" width="5.140625" style="3" customWidth="1"/>
    <col min="2819" max="2819" width="19.85546875" style="3" customWidth="1"/>
    <col min="2820" max="2820" width="11.85546875" style="3" customWidth="1"/>
    <col min="2821" max="2837" width="9.140625" style="3" customWidth="1"/>
    <col min="2838" max="3073" width="9" style="3"/>
    <col min="3074" max="3074" width="5.140625" style="3" customWidth="1"/>
    <col min="3075" max="3075" width="19.85546875" style="3" customWidth="1"/>
    <col min="3076" max="3076" width="11.85546875" style="3" customWidth="1"/>
    <col min="3077" max="3093" width="9.140625" style="3" customWidth="1"/>
    <col min="3094" max="3329" width="9" style="3"/>
    <col min="3330" max="3330" width="5.140625" style="3" customWidth="1"/>
    <col min="3331" max="3331" width="19.85546875" style="3" customWidth="1"/>
    <col min="3332" max="3332" width="11.85546875" style="3" customWidth="1"/>
    <col min="3333" max="3349" width="9.140625" style="3" customWidth="1"/>
    <col min="3350" max="3585" width="9" style="3"/>
    <col min="3586" max="3586" width="5.140625" style="3" customWidth="1"/>
    <col min="3587" max="3587" width="19.85546875" style="3" customWidth="1"/>
    <col min="3588" max="3588" width="11.85546875" style="3" customWidth="1"/>
    <col min="3589" max="3605" width="9.140625" style="3" customWidth="1"/>
    <col min="3606" max="3841" width="9" style="3"/>
    <col min="3842" max="3842" width="5.140625" style="3" customWidth="1"/>
    <col min="3843" max="3843" width="19.85546875" style="3" customWidth="1"/>
    <col min="3844" max="3844" width="11.85546875" style="3" customWidth="1"/>
    <col min="3845" max="3861" width="9.140625" style="3" customWidth="1"/>
    <col min="3862" max="4097" width="9" style="3"/>
    <col min="4098" max="4098" width="5.140625" style="3" customWidth="1"/>
    <col min="4099" max="4099" width="19.85546875" style="3" customWidth="1"/>
    <col min="4100" max="4100" width="11.85546875" style="3" customWidth="1"/>
    <col min="4101" max="4117" width="9.140625" style="3" customWidth="1"/>
    <col min="4118" max="4353" width="9" style="3"/>
    <col min="4354" max="4354" width="5.140625" style="3" customWidth="1"/>
    <col min="4355" max="4355" width="19.85546875" style="3" customWidth="1"/>
    <col min="4356" max="4356" width="11.85546875" style="3" customWidth="1"/>
    <col min="4357" max="4373" width="9.140625" style="3" customWidth="1"/>
    <col min="4374" max="4609" width="9" style="3"/>
    <col min="4610" max="4610" width="5.140625" style="3" customWidth="1"/>
    <col min="4611" max="4611" width="19.85546875" style="3" customWidth="1"/>
    <col min="4612" max="4612" width="11.85546875" style="3" customWidth="1"/>
    <col min="4613" max="4629" width="9.140625" style="3" customWidth="1"/>
    <col min="4630" max="4865" width="9" style="3"/>
    <col min="4866" max="4866" width="5.140625" style="3" customWidth="1"/>
    <col min="4867" max="4867" width="19.85546875" style="3" customWidth="1"/>
    <col min="4868" max="4868" width="11.85546875" style="3" customWidth="1"/>
    <col min="4869" max="4885" width="9.140625" style="3" customWidth="1"/>
    <col min="4886" max="5121" width="9" style="3"/>
    <col min="5122" max="5122" width="5.140625" style="3" customWidth="1"/>
    <col min="5123" max="5123" width="19.85546875" style="3" customWidth="1"/>
    <col min="5124" max="5124" width="11.85546875" style="3" customWidth="1"/>
    <col min="5125" max="5141" width="9.140625" style="3" customWidth="1"/>
    <col min="5142" max="5377" width="9" style="3"/>
    <col min="5378" max="5378" width="5.140625" style="3" customWidth="1"/>
    <col min="5379" max="5379" width="19.85546875" style="3" customWidth="1"/>
    <col min="5380" max="5380" width="11.85546875" style="3" customWidth="1"/>
    <col min="5381" max="5397" width="9.140625" style="3" customWidth="1"/>
    <col min="5398" max="5633" width="9" style="3"/>
    <col min="5634" max="5634" width="5.140625" style="3" customWidth="1"/>
    <col min="5635" max="5635" width="19.85546875" style="3" customWidth="1"/>
    <col min="5636" max="5636" width="11.85546875" style="3" customWidth="1"/>
    <col min="5637" max="5653" width="9.140625" style="3" customWidth="1"/>
    <col min="5654" max="5889" width="9" style="3"/>
    <col min="5890" max="5890" width="5.140625" style="3" customWidth="1"/>
    <col min="5891" max="5891" width="19.85546875" style="3" customWidth="1"/>
    <col min="5892" max="5892" width="11.85546875" style="3" customWidth="1"/>
    <col min="5893" max="5909" width="9.140625" style="3" customWidth="1"/>
    <col min="5910" max="6145" width="9" style="3"/>
    <col min="6146" max="6146" width="5.140625" style="3" customWidth="1"/>
    <col min="6147" max="6147" width="19.85546875" style="3" customWidth="1"/>
    <col min="6148" max="6148" width="11.85546875" style="3" customWidth="1"/>
    <col min="6149" max="6165" width="9.140625" style="3" customWidth="1"/>
    <col min="6166" max="6401" width="9" style="3"/>
    <col min="6402" max="6402" width="5.140625" style="3" customWidth="1"/>
    <col min="6403" max="6403" width="19.85546875" style="3" customWidth="1"/>
    <col min="6404" max="6404" width="11.85546875" style="3" customWidth="1"/>
    <col min="6405" max="6421" width="9.140625" style="3" customWidth="1"/>
    <col min="6422" max="6657" width="9" style="3"/>
    <col min="6658" max="6658" width="5.140625" style="3" customWidth="1"/>
    <col min="6659" max="6659" width="19.85546875" style="3" customWidth="1"/>
    <col min="6660" max="6660" width="11.85546875" style="3" customWidth="1"/>
    <col min="6661" max="6677" width="9.140625" style="3" customWidth="1"/>
    <col min="6678" max="6913" width="9" style="3"/>
    <col min="6914" max="6914" width="5.140625" style="3" customWidth="1"/>
    <col min="6915" max="6915" width="19.85546875" style="3" customWidth="1"/>
    <col min="6916" max="6916" width="11.85546875" style="3" customWidth="1"/>
    <col min="6917" max="6933" width="9.140625" style="3" customWidth="1"/>
    <col min="6934" max="7169" width="9" style="3"/>
    <col min="7170" max="7170" width="5.140625" style="3" customWidth="1"/>
    <col min="7171" max="7171" width="19.85546875" style="3" customWidth="1"/>
    <col min="7172" max="7172" width="11.85546875" style="3" customWidth="1"/>
    <col min="7173" max="7189" width="9.140625" style="3" customWidth="1"/>
    <col min="7190" max="7425" width="9" style="3"/>
    <col min="7426" max="7426" width="5.140625" style="3" customWidth="1"/>
    <col min="7427" max="7427" width="19.85546875" style="3" customWidth="1"/>
    <col min="7428" max="7428" width="11.85546875" style="3" customWidth="1"/>
    <col min="7429" max="7445" width="9.140625" style="3" customWidth="1"/>
    <col min="7446" max="7681" width="9" style="3"/>
    <col min="7682" max="7682" width="5.140625" style="3" customWidth="1"/>
    <col min="7683" max="7683" width="19.85546875" style="3" customWidth="1"/>
    <col min="7684" max="7684" width="11.85546875" style="3" customWidth="1"/>
    <col min="7685" max="7701" width="9.140625" style="3" customWidth="1"/>
    <col min="7702" max="7937" width="9" style="3"/>
    <col min="7938" max="7938" width="5.140625" style="3" customWidth="1"/>
    <col min="7939" max="7939" width="19.85546875" style="3" customWidth="1"/>
    <col min="7940" max="7940" width="11.85546875" style="3" customWidth="1"/>
    <col min="7941" max="7957" width="9.140625" style="3" customWidth="1"/>
    <col min="7958" max="8193" width="9" style="3"/>
    <col min="8194" max="8194" width="5.140625" style="3" customWidth="1"/>
    <col min="8195" max="8195" width="19.85546875" style="3" customWidth="1"/>
    <col min="8196" max="8196" width="11.85546875" style="3" customWidth="1"/>
    <col min="8197" max="8213" width="9.140625" style="3" customWidth="1"/>
    <col min="8214" max="8449" width="9" style="3"/>
    <col min="8450" max="8450" width="5.140625" style="3" customWidth="1"/>
    <col min="8451" max="8451" width="19.85546875" style="3" customWidth="1"/>
    <col min="8452" max="8452" width="11.85546875" style="3" customWidth="1"/>
    <col min="8453" max="8469" width="9.140625" style="3" customWidth="1"/>
    <col min="8470" max="8705" width="9" style="3"/>
    <col min="8706" max="8706" width="5.140625" style="3" customWidth="1"/>
    <col min="8707" max="8707" width="19.85546875" style="3" customWidth="1"/>
    <col min="8708" max="8708" width="11.85546875" style="3" customWidth="1"/>
    <col min="8709" max="8725" width="9.140625" style="3" customWidth="1"/>
    <col min="8726" max="8961" width="9" style="3"/>
    <col min="8962" max="8962" width="5.140625" style="3" customWidth="1"/>
    <col min="8963" max="8963" width="19.85546875" style="3" customWidth="1"/>
    <col min="8964" max="8964" width="11.85546875" style="3" customWidth="1"/>
    <col min="8965" max="8981" width="9.140625" style="3" customWidth="1"/>
    <col min="8982" max="9217" width="9" style="3"/>
    <col min="9218" max="9218" width="5.140625" style="3" customWidth="1"/>
    <col min="9219" max="9219" width="19.85546875" style="3" customWidth="1"/>
    <col min="9220" max="9220" width="11.85546875" style="3" customWidth="1"/>
    <col min="9221" max="9237" width="9.140625" style="3" customWidth="1"/>
    <col min="9238" max="9473" width="9" style="3"/>
    <col min="9474" max="9474" width="5.140625" style="3" customWidth="1"/>
    <col min="9475" max="9475" width="19.85546875" style="3" customWidth="1"/>
    <col min="9476" max="9476" width="11.85546875" style="3" customWidth="1"/>
    <col min="9477" max="9493" width="9.140625" style="3" customWidth="1"/>
    <col min="9494" max="9729" width="9" style="3"/>
    <col min="9730" max="9730" width="5.140625" style="3" customWidth="1"/>
    <col min="9731" max="9731" width="19.85546875" style="3" customWidth="1"/>
    <col min="9732" max="9732" width="11.85546875" style="3" customWidth="1"/>
    <col min="9733" max="9749" width="9.140625" style="3" customWidth="1"/>
    <col min="9750" max="9985" width="9" style="3"/>
    <col min="9986" max="9986" width="5.140625" style="3" customWidth="1"/>
    <col min="9987" max="9987" width="19.85546875" style="3" customWidth="1"/>
    <col min="9988" max="9988" width="11.85546875" style="3" customWidth="1"/>
    <col min="9989" max="10005" width="9.140625" style="3" customWidth="1"/>
    <col min="10006" max="10241" width="9" style="3"/>
    <col min="10242" max="10242" width="5.140625" style="3" customWidth="1"/>
    <col min="10243" max="10243" width="19.85546875" style="3" customWidth="1"/>
    <col min="10244" max="10244" width="11.85546875" style="3" customWidth="1"/>
    <col min="10245" max="10261" width="9.140625" style="3" customWidth="1"/>
    <col min="10262" max="10497" width="9" style="3"/>
    <col min="10498" max="10498" width="5.140625" style="3" customWidth="1"/>
    <col min="10499" max="10499" width="19.85546875" style="3" customWidth="1"/>
    <col min="10500" max="10500" width="11.85546875" style="3" customWidth="1"/>
    <col min="10501" max="10517" width="9.140625" style="3" customWidth="1"/>
    <col min="10518" max="10753" width="9" style="3"/>
    <col min="10754" max="10754" width="5.140625" style="3" customWidth="1"/>
    <col min="10755" max="10755" width="19.85546875" style="3" customWidth="1"/>
    <col min="10756" max="10756" width="11.85546875" style="3" customWidth="1"/>
    <col min="10757" max="10773" width="9.140625" style="3" customWidth="1"/>
    <col min="10774" max="11009" width="9" style="3"/>
    <col min="11010" max="11010" width="5.140625" style="3" customWidth="1"/>
    <col min="11011" max="11011" width="19.85546875" style="3" customWidth="1"/>
    <col min="11012" max="11012" width="11.85546875" style="3" customWidth="1"/>
    <col min="11013" max="11029" width="9.140625" style="3" customWidth="1"/>
    <col min="11030" max="11265" width="9" style="3"/>
    <col min="11266" max="11266" width="5.140625" style="3" customWidth="1"/>
    <col min="11267" max="11267" width="19.85546875" style="3" customWidth="1"/>
    <col min="11268" max="11268" width="11.85546875" style="3" customWidth="1"/>
    <col min="11269" max="11285" width="9.140625" style="3" customWidth="1"/>
    <col min="11286" max="11521" width="9" style="3"/>
    <col min="11522" max="11522" width="5.140625" style="3" customWidth="1"/>
    <col min="11523" max="11523" width="19.85546875" style="3" customWidth="1"/>
    <col min="11524" max="11524" width="11.85546875" style="3" customWidth="1"/>
    <col min="11525" max="11541" width="9.140625" style="3" customWidth="1"/>
    <col min="11542" max="11777" width="9" style="3"/>
    <col min="11778" max="11778" width="5.140625" style="3" customWidth="1"/>
    <col min="11779" max="11779" width="19.85546875" style="3" customWidth="1"/>
    <col min="11780" max="11780" width="11.85546875" style="3" customWidth="1"/>
    <col min="11781" max="11797" width="9.140625" style="3" customWidth="1"/>
    <col min="11798" max="12033" width="9" style="3"/>
    <col min="12034" max="12034" width="5.140625" style="3" customWidth="1"/>
    <col min="12035" max="12035" width="19.85546875" style="3" customWidth="1"/>
    <col min="12036" max="12036" width="11.85546875" style="3" customWidth="1"/>
    <col min="12037" max="12053" width="9.140625" style="3" customWidth="1"/>
    <col min="12054" max="12289" width="9" style="3"/>
    <col min="12290" max="12290" width="5.140625" style="3" customWidth="1"/>
    <col min="12291" max="12291" width="19.85546875" style="3" customWidth="1"/>
    <col min="12292" max="12292" width="11.85546875" style="3" customWidth="1"/>
    <col min="12293" max="12309" width="9.140625" style="3" customWidth="1"/>
    <col min="12310" max="12545" width="9" style="3"/>
    <col min="12546" max="12546" width="5.140625" style="3" customWidth="1"/>
    <col min="12547" max="12547" width="19.85546875" style="3" customWidth="1"/>
    <col min="12548" max="12548" width="11.85546875" style="3" customWidth="1"/>
    <col min="12549" max="12565" width="9.140625" style="3" customWidth="1"/>
    <col min="12566" max="12801" width="9" style="3"/>
    <col min="12802" max="12802" width="5.140625" style="3" customWidth="1"/>
    <col min="12803" max="12803" width="19.85546875" style="3" customWidth="1"/>
    <col min="12804" max="12804" width="11.85546875" style="3" customWidth="1"/>
    <col min="12805" max="12821" width="9.140625" style="3" customWidth="1"/>
    <col min="12822" max="13057" width="9" style="3"/>
    <col min="13058" max="13058" width="5.140625" style="3" customWidth="1"/>
    <col min="13059" max="13059" width="19.85546875" style="3" customWidth="1"/>
    <col min="13060" max="13060" width="11.85546875" style="3" customWidth="1"/>
    <col min="13061" max="13077" width="9.140625" style="3" customWidth="1"/>
    <col min="13078" max="13313" width="9" style="3"/>
    <col min="13314" max="13314" width="5.140625" style="3" customWidth="1"/>
    <col min="13315" max="13315" width="19.85546875" style="3" customWidth="1"/>
    <col min="13316" max="13316" width="11.85546875" style="3" customWidth="1"/>
    <col min="13317" max="13333" width="9.140625" style="3" customWidth="1"/>
    <col min="13334" max="13569" width="9" style="3"/>
    <col min="13570" max="13570" width="5.140625" style="3" customWidth="1"/>
    <col min="13571" max="13571" width="19.85546875" style="3" customWidth="1"/>
    <col min="13572" max="13572" width="11.85546875" style="3" customWidth="1"/>
    <col min="13573" max="13589" width="9.140625" style="3" customWidth="1"/>
    <col min="13590" max="13825" width="9" style="3"/>
    <col min="13826" max="13826" width="5.140625" style="3" customWidth="1"/>
    <col min="13827" max="13827" width="19.85546875" style="3" customWidth="1"/>
    <col min="13828" max="13828" width="11.85546875" style="3" customWidth="1"/>
    <col min="13829" max="13845" width="9.140625" style="3" customWidth="1"/>
    <col min="13846" max="14081" width="9" style="3"/>
    <col min="14082" max="14082" width="5.140625" style="3" customWidth="1"/>
    <col min="14083" max="14083" width="19.85546875" style="3" customWidth="1"/>
    <col min="14084" max="14084" width="11.85546875" style="3" customWidth="1"/>
    <col min="14085" max="14101" width="9.140625" style="3" customWidth="1"/>
    <col min="14102" max="14337" width="9" style="3"/>
    <col min="14338" max="14338" width="5.140625" style="3" customWidth="1"/>
    <col min="14339" max="14339" width="19.85546875" style="3" customWidth="1"/>
    <col min="14340" max="14340" width="11.85546875" style="3" customWidth="1"/>
    <col min="14341" max="14357" width="9.140625" style="3" customWidth="1"/>
    <col min="14358" max="14593" width="9" style="3"/>
    <col min="14594" max="14594" width="5.140625" style="3" customWidth="1"/>
    <col min="14595" max="14595" width="19.85546875" style="3" customWidth="1"/>
    <col min="14596" max="14596" width="11.85546875" style="3" customWidth="1"/>
    <col min="14597" max="14613" width="9.140625" style="3" customWidth="1"/>
    <col min="14614" max="14849" width="9" style="3"/>
    <col min="14850" max="14850" width="5.140625" style="3" customWidth="1"/>
    <col min="14851" max="14851" width="19.85546875" style="3" customWidth="1"/>
    <col min="14852" max="14852" width="11.85546875" style="3" customWidth="1"/>
    <col min="14853" max="14869" width="9.140625" style="3" customWidth="1"/>
    <col min="14870" max="15105" width="9" style="3"/>
    <col min="15106" max="15106" width="5.140625" style="3" customWidth="1"/>
    <col min="15107" max="15107" width="19.85546875" style="3" customWidth="1"/>
    <col min="15108" max="15108" width="11.85546875" style="3" customWidth="1"/>
    <col min="15109" max="15125" width="9.140625" style="3" customWidth="1"/>
    <col min="15126" max="15361" width="9" style="3"/>
    <col min="15362" max="15362" width="5.140625" style="3" customWidth="1"/>
    <col min="15363" max="15363" width="19.85546875" style="3" customWidth="1"/>
    <col min="15364" max="15364" width="11.85546875" style="3" customWidth="1"/>
    <col min="15365" max="15381" width="9.140625" style="3" customWidth="1"/>
    <col min="15382" max="15617" width="9" style="3"/>
    <col min="15618" max="15618" width="5.140625" style="3" customWidth="1"/>
    <col min="15619" max="15619" width="19.85546875" style="3" customWidth="1"/>
    <col min="15620" max="15620" width="11.85546875" style="3" customWidth="1"/>
    <col min="15621" max="15637" width="9.140625" style="3" customWidth="1"/>
    <col min="15638" max="15873" width="9" style="3"/>
    <col min="15874" max="15874" width="5.140625" style="3" customWidth="1"/>
    <col min="15875" max="15875" width="19.85546875" style="3" customWidth="1"/>
    <col min="15876" max="15876" width="11.85546875" style="3" customWidth="1"/>
    <col min="15877" max="15893" width="9.140625" style="3" customWidth="1"/>
    <col min="15894" max="16129" width="9" style="3"/>
    <col min="16130" max="16130" width="5.140625" style="3" customWidth="1"/>
    <col min="16131" max="16131" width="19.85546875" style="3" customWidth="1"/>
    <col min="16132" max="16132" width="11.85546875" style="3" customWidth="1"/>
    <col min="16133" max="16149" width="9.140625" style="3" customWidth="1"/>
    <col min="16150" max="16384" width="9" style="3"/>
  </cols>
  <sheetData>
    <row r="1" spans="1:23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"/>
      <c r="W1" s="1"/>
    </row>
    <row r="2" spans="1:23" ht="187.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3" x14ac:dyDescent="0.25">
      <c r="A3" s="133" t="s">
        <v>4</v>
      </c>
      <c r="B3" s="19" t="s">
        <v>43</v>
      </c>
      <c r="C3" s="19" t="s">
        <v>7</v>
      </c>
      <c r="D3" s="16"/>
      <c r="E3" s="16"/>
      <c r="F3" s="16"/>
      <c r="G3" s="16"/>
      <c r="H3" s="107">
        <f>100-(63.4-59.67)/59.67*50</f>
        <v>96.874476286240991</v>
      </c>
      <c r="I3" s="16">
        <f>100-(32.67-32.67)/32.67*50</f>
        <v>100</v>
      </c>
      <c r="J3" s="16">
        <f>100-(107.82-107.82)/107.82*50</f>
        <v>100</v>
      </c>
      <c r="K3" s="16">
        <f>100-(39.07-39.07)/39.07*50</f>
        <v>100</v>
      </c>
      <c r="L3" s="16">
        <f>100-(55.37-55.37)/55.37*50</f>
        <v>100</v>
      </c>
      <c r="M3" s="16">
        <f>100-(15.18-15.18)/15.18*50</f>
        <v>100</v>
      </c>
      <c r="N3" s="16">
        <f>100-(39.2-39.2)/39.2*50</f>
        <v>100</v>
      </c>
      <c r="O3" s="16">
        <f>100-(32.05-32.05)/32.05*50</f>
        <v>100</v>
      </c>
      <c r="P3" s="107">
        <f>100-(113.93-113.93)/113.93*50</f>
        <v>100</v>
      </c>
      <c r="Q3" s="107">
        <f>100-(75.85-75.85)/75.85*50</f>
        <v>100</v>
      </c>
      <c r="R3" s="107">
        <f>100-(76.5-76.5)/76.5*50</f>
        <v>100</v>
      </c>
      <c r="S3" s="16"/>
      <c r="T3" s="107">
        <f>100-(121-121)/121*50</f>
        <v>100</v>
      </c>
      <c r="U3" s="134">
        <f>SUM(D3:T3)-H3-T3-P3-Q3-R3</f>
        <v>700.00000000000023</v>
      </c>
    </row>
    <row r="4" spans="1:23" x14ac:dyDescent="0.25">
      <c r="A4" s="133" t="s">
        <v>6</v>
      </c>
      <c r="B4" s="19" t="s">
        <v>63</v>
      </c>
      <c r="C4" s="19" t="s">
        <v>64</v>
      </c>
      <c r="D4" s="16"/>
      <c r="E4" s="16"/>
      <c r="F4" s="16"/>
      <c r="G4" s="16"/>
      <c r="H4" s="16">
        <f>100-(69.53-59.67)/59.67*50</f>
        <v>91.737891737891744</v>
      </c>
      <c r="I4" s="16">
        <f>100-(40.82-32.67)/32.67*50</f>
        <v>87.526782981328438</v>
      </c>
      <c r="J4" s="107">
        <f>100-(184.85-107.82)/107.82*50</f>
        <v>64.278427007976262</v>
      </c>
      <c r="K4" s="16">
        <f>100-(47.87-39.07)/39.07*50</f>
        <v>88.738162272843624</v>
      </c>
      <c r="L4" s="16">
        <f>100-(71.93-55.37)/55.37*50</f>
        <v>85.046053819757987</v>
      </c>
      <c r="M4" s="16"/>
      <c r="N4" s="19"/>
      <c r="O4" s="107">
        <f>100-(51.27-32.05)/32.05*50</f>
        <v>70.015600624024955</v>
      </c>
      <c r="P4" s="16">
        <f>100-(179.18-113.93)/113.93*50</f>
        <v>71.36399543579391</v>
      </c>
      <c r="Q4" s="16">
        <f>100-(94.55-75.85)/75.85*50</f>
        <v>87.673038892551091</v>
      </c>
      <c r="R4" s="16">
        <f>100-(98.63-76.5)/76.5*50</f>
        <v>85.535947712418306</v>
      </c>
      <c r="S4" s="16"/>
      <c r="T4" s="16"/>
      <c r="U4" s="134">
        <f>SUM(D4:T4)-J4-O4</f>
        <v>597.62187285258506</v>
      </c>
    </row>
    <row r="5" spans="1:23" x14ac:dyDescent="0.25">
      <c r="A5" s="133" t="s">
        <v>8</v>
      </c>
      <c r="B5" s="19" t="s">
        <v>131</v>
      </c>
      <c r="C5" s="19" t="s">
        <v>132</v>
      </c>
      <c r="D5" s="19"/>
      <c r="E5" s="16"/>
      <c r="F5" s="66"/>
      <c r="G5" s="16"/>
      <c r="H5" s="16"/>
      <c r="I5" s="19"/>
      <c r="J5" s="16">
        <f>100-(131.77-107.82)/107.82*50</f>
        <v>88.893526247449444</v>
      </c>
      <c r="K5" s="16">
        <f>100-(47.52-39.07)/39.07*50</f>
        <v>89.186076273355511</v>
      </c>
      <c r="L5" s="16">
        <f>100-(81.75-55.37)/55.37*50</f>
        <v>76.178435976160372</v>
      </c>
      <c r="M5" s="19"/>
      <c r="N5" s="16"/>
      <c r="O5" s="16"/>
      <c r="P5" s="16">
        <f>100-(142.02-113.93)/113.93*50</f>
        <v>87.672254893355571</v>
      </c>
      <c r="Q5" s="16">
        <f>100-(85.42-75.85)/75.85*50</f>
        <v>93.691496374423195</v>
      </c>
      <c r="R5" s="16">
        <f>100-(109.57-76.5)/76.5*50</f>
        <v>78.385620915032689</v>
      </c>
      <c r="S5" s="16"/>
      <c r="T5" s="16"/>
      <c r="U5" s="134">
        <f>SUM(D5:T5)</f>
        <v>514.00741067977674</v>
      </c>
    </row>
    <row r="6" spans="1:23" x14ac:dyDescent="0.25">
      <c r="A6" s="133" t="s">
        <v>11</v>
      </c>
      <c r="B6" s="19" t="s">
        <v>129</v>
      </c>
      <c r="C6" s="19" t="s">
        <v>28</v>
      </c>
      <c r="D6" s="16"/>
      <c r="E6" s="16"/>
      <c r="F6" s="16"/>
      <c r="G6" s="16"/>
      <c r="H6" s="16">
        <f>100-(59.67-59.67)/59.67*50</f>
        <v>100</v>
      </c>
      <c r="I6" s="16">
        <f>100-(32.73-32.67)/32.67*50</f>
        <v>99.908172635445368</v>
      </c>
      <c r="J6" s="16">
        <f>100-(167.83-107.82)/107.82*50</f>
        <v>72.171211278056006</v>
      </c>
      <c r="K6" s="16">
        <f>100-(53.28-39.07)/39.07*50</f>
        <v>81.814691579216785</v>
      </c>
      <c r="L6" s="16"/>
      <c r="M6" s="16"/>
      <c r="N6" s="19"/>
      <c r="O6" s="19"/>
      <c r="P6" s="16"/>
      <c r="Q6" s="16"/>
      <c r="R6" s="16"/>
      <c r="S6" s="16"/>
      <c r="T6" s="16"/>
      <c r="U6" s="134">
        <f>SUM(D6:T6)</f>
        <v>353.89407549271817</v>
      </c>
    </row>
    <row r="7" spans="1:23" x14ac:dyDescent="0.25">
      <c r="A7" s="133" t="s">
        <v>13</v>
      </c>
      <c r="B7" s="19" t="s">
        <v>130</v>
      </c>
      <c r="C7" s="19" t="s">
        <v>42</v>
      </c>
      <c r="D7" s="16"/>
      <c r="E7" s="66"/>
      <c r="F7" s="16"/>
      <c r="G7" s="16"/>
      <c r="H7" s="19"/>
      <c r="I7" s="19"/>
      <c r="J7" s="16">
        <f>100-(109.02-107.82)/107.82*50</f>
        <v>99.443516972732326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34">
        <f>SUM(D7:T7)</f>
        <v>99.443516972732326</v>
      </c>
    </row>
    <row r="8" spans="1:23" x14ac:dyDescent="0.25">
      <c r="A8" s="2"/>
      <c r="B8" s="2"/>
      <c r="C8" s="2"/>
      <c r="D8" s="2"/>
      <c r="E8" s="2"/>
      <c r="F8" s="3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3" s="39" customFormat="1" x14ac:dyDescent="0.25">
      <c r="A9" s="39" t="s">
        <v>26</v>
      </c>
    </row>
    <row r="10" spans="1:23" s="40" customFormat="1" x14ac:dyDescent="0.25">
      <c r="A10" s="40" t="s">
        <v>27</v>
      </c>
    </row>
  </sheetData>
  <sortState ref="B3:V7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workbookViewId="0">
      <selection activeCell="A2" sqref="A2:U14"/>
    </sheetView>
  </sheetViews>
  <sheetFormatPr defaultColWidth="9" defaultRowHeight="15" x14ac:dyDescent="0.25"/>
  <cols>
    <col min="1" max="1" width="5" style="3" customWidth="1"/>
    <col min="2" max="2" width="20.5703125" style="3" customWidth="1"/>
    <col min="3" max="3" width="17" style="3" customWidth="1"/>
    <col min="4" max="21" width="9.140625" style="3" customWidth="1"/>
    <col min="22" max="24" width="9" style="2"/>
    <col min="25" max="257" width="9" style="3"/>
    <col min="258" max="258" width="5" style="3" customWidth="1"/>
    <col min="259" max="259" width="20.7109375" style="3" customWidth="1"/>
    <col min="260" max="260" width="19.140625" style="3" customWidth="1"/>
    <col min="261" max="277" width="9.140625" style="3" customWidth="1"/>
    <col min="278" max="513" width="9" style="3"/>
    <col min="514" max="514" width="5" style="3" customWidth="1"/>
    <col min="515" max="515" width="20.7109375" style="3" customWidth="1"/>
    <col min="516" max="516" width="19.140625" style="3" customWidth="1"/>
    <col min="517" max="533" width="9.140625" style="3" customWidth="1"/>
    <col min="534" max="769" width="9" style="3"/>
    <col min="770" max="770" width="5" style="3" customWidth="1"/>
    <col min="771" max="771" width="20.7109375" style="3" customWidth="1"/>
    <col min="772" max="772" width="19.140625" style="3" customWidth="1"/>
    <col min="773" max="789" width="9.140625" style="3" customWidth="1"/>
    <col min="790" max="1025" width="9" style="3"/>
    <col min="1026" max="1026" width="5" style="3" customWidth="1"/>
    <col min="1027" max="1027" width="20.7109375" style="3" customWidth="1"/>
    <col min="1028" max="1028" width="19.140625" style="3" customWidth="1"/>
    <col min="1029" max="1045" width="9.140625" style="3" customWidth="1"/>
    <col min="1046" max="1281" width="9" style="3"/>
    <col min="1282" max="1282" width="5" style="3" customWidth="1"/>
    <col min="1283" max="1283" width="20.7109375" style="3" customWidth="1"/>
    <col min="1284" max="1284" width="19.140625" style="3" customWidth="1"/>
    <col min="1285" max="1301" width="9.140625" style="3" customWidth="1"/>
    <col min="1302" max="1537" width="9" style="3"/>
    <col min="1538" max="1538" width="5" style="3" customWidth="1"/>
    <col min="1539" max="1539" width="20.7109375" style="3" customWidth="1"/>
    <col min="1540" max="1540" width="19.140625" style="3" customWidth="1"/>
    <col min="1541" max="1557" width="9.140625" style="3" customWidth="1"/>
    <col min="1558" max="1793" width="9" style="3"/>
    <col min="1794" max="1794" width="5" style="3" customWidth="1"/>
    <col min="1795" max="1795" width="20.7109375" style="3" customWidth="1"/>
    <col min="1796" max="1796" width="19.140625" style="3" customWidth="1"/>
    <col min="1797" max="1813" width="9.140625" style="3" customWidth="1"/>
    <col min="1814" max="2049" width="9" style="3"/>
    <col min="2050" max="2050" width="5" style="3" customWidth="1"/>
    <col min="2051" max="2051" width="20.7109375" style="3" customWidth="1"/>
    <col min="2052" max="2052" width="19.140625" style="3" customWidth="1"/>
    <col min="2053" max="2069" width="9.140625" style="3" customWidth="1"/>
    <col min="2070" max="2305" width="9" style="3"/>
    <col min="2306" max="2306" width="5" style="3" customWidth="1"/>
    <col min="2307" max="2307" width="20.7109375" style="3" customWidth="1"/>
    <col min="2308" max="2308" width="19.140625" style="3" customWidth="1"/>
    <col min="2309" max="2325" width="9.140625" style="3" customWidth="1"/>
    <col min="2326" max="2561" width="9" style="3"/>
    <col min="2562" max="2562" width="5" style="3" customWidth="1"/>
    <col min="2563" max="2563" width="20.7109375" style="3" customWidth="1"/>
    <col min="2564" max="2564" width="19.140625" style="3" customWidth="1"/>
    <col min="2565" max="2581" width="9.140625" style="3" customWidth="1"/>
    <col min="2582" max="2817" width="9" style="3"/>
    <col min="2818" max="2818" width="5" style="3" customWidth="1"/>
    <col min="2819" max="2819" width="20.7109375" style="3" customWidth="1"/>
    <col min="2820" max="2820" width="19.140625" style="3" customWidth="1"/>
    <col min="2821" max="2837" width="9.140625" style="3" customWidth="1"/>
    <col min="2838" max="3073" width="9" style="3"/>
    <col min="3074" max="3074" width="5" style="3" customWidth="1"/>
    <col min="3075" max="3075" width="20.7109375" style="3" customWidth="1"/>
    <col min="3076" max="3076" width="19.140625" style="3" customWidth="1"/>
    <col min="3077" max="3093" width="9.140625" style="3" customWidth="1"/>
    <col min="3094" max="3329" width="9" style="3"/>
    <col min="3330" max="3330" width="5" style="3" customWidth="1"/>
    <col min="3331" max="3331" width="20.7109375" style="3" customWidth="1"/>
    <col min="3332" max="3332" width="19.140625" style="3" customWidth="1"/>
    <col min="3333" max="3349" width="9.140625" style="3" customWidth="1"/>
    <col min="3350" max="3585" width="9" style="3"/>
    <col min="3586" max="3586" width="5" style="3" customWidth="1"/>
    <col min="3587" max="3587" width="20.7109375" style="3" customWidth="1"/>
    <col min="3588" max="3588" width="19.140625" style="3" customWidth="1"/>
    <col min="3589" max="3605" width="9.140625" style="3" customWidth="1"/>
    <col min="3606" max="3841" width="9" style="3"/>
    <col min="3842" max="3842" width="5" style="3" customWidth="1"/>
    <col min="3843" max="3843" width="20.7109375" style="3" customWidth="1"/>
    <col min="3844" max="3844" width="19.140625" style="3" customWidth="1"/>
    <col min="3845" max="3861" width="9.140625" style="3" customWidth="1"/>
    <col min="3862" max="4097" width="9" style="3"/>
    <col min="4098" max="4098" width="5" style="3" customWidth="1"/>
    <col min="4099" max="4099" width="20.7109375" style="3" customWidth="1"/>
    <col min="4100" max="4100" width="19.140625" style="3" customWidth="1"/>
    <col min="4101" max="4117" width="9.140625" style="3" customWidth="1"/>
    <col min="4118" max="4353" width="9" style="3"/>
    <col min="4354" max="4354" width="5" style="3" customWidth="1"/>
    <col min="4355" max="4355" width="20.7109375" style="3" customWidth="1"/>
    <col min="4356" max="4356" width="19.140625" style="3" customWidth="1"/>
    <col min="4357" max="4373" width="9.140625" style="3" customWidth="1"/>
    <col min="4374" max="4609" width="9" style="3"/>
    <col min="4610" max="4610" width="5" style="3" customWidth="1"/>
    <col min="4611" max="4611" width="20.7109375" style="3" customWidth="1"/>
    <col min="4612" max="4612" width="19.140625" style="3" customWidth="1"/>
    <col min="4613" max="4629" width="9.140625" style="3" customWidth="1"/>
    <col min="4630" max="4865" width="9" style="3"/>
    <col min="4866" max="4866" width="5" style="3" customWidth="1"/>
    <col min="4867" max="4867" width="20.7109375" style="3" customWidth="1"/>
    <col min="4868" max="4868" width="19.140625" style="3" customWidth="1"/>
    <col min="4869" max="4885" width="9.140625" style="3" customWidth="1"/>
    <col min="4886" max="5121" width="9" style="3"/>
    <col min="5122" max="5122" width="5" style="3" customWidth="1"/>
    <col min="5123" max="5123" width="20.7109375" style="3" customWidth="1"/>
    <col min="5124" max="5124" width="19.140625" style="3" customWidth="1"/>
    <col min="5125" max="5141" width="9.140625" style="3" customWidth="1"/>
    <col min="5142" max="5377" width="9" style="3"/>
    <col min="5378" max="5378" width="5" style="3" customWidth="1"/>
    <col min="5379" max="5379" width="20.7109375" style="3" customWidth="1"/>
    <col min="5380" max="5380" width="19.140625" style="3" customWidth="1"/>
    <col min="5381" max="5397" width="9.140625" style="3" customWidth="1"/>
    <col min="5398" max="5633" width="9" style="3"/>
    <col min="5634" max="5634" width="5" style="3" customWidth="1"/>
    <col min="5635" max="5635" width="20.7109375" style="3" customWidth="1"/>
    <col min="5636" max="5636" width="19.140625" style="3" customWidth="1"/>
    <col min="5637" max="5653" width="9.140625" style="3" customWidth="1"/>
    <col min="5654" max="5889" width="9" style="3"/>
    <col min="5890" max="5890" width="5" style="3" customWidth="1"/>
    <col min="5891" max="5891" width="20.7109375" style="3" customWidth="1"/>
    <col min="5892" max="5892" width="19.140625" style="3" customWidth="1"/>
    <col min="5893" max="5909" width="9.140625" style="3" customWidth="1"/>
    <col min="5910" max="6145" width="9" style="3"/>
    <col min="6146" max="6146" width="5" style="3" customWidth="1"/>
    <col min="6147" max="6147" width="20.7109375" style="3" customWidth="1"/>
    <col min="6148" max="6148" width="19.140625" style="3" customWidth="1"/>
    <col min="6149" max="6165" width="9.140625" style="3" customWidth="1"/>
    <col min="6166" max="6401" width="9" style="3"/>
    <col min="6402" max="6402" width="5" style="3" customWidth="1"/>
    <col min="6403" max="6403" width="20.7109375" style="3" customWidth="1"/>
    <col min="6404" max="6404" width="19.140625" style="3" customWidth="1"/>
    <col min="6405" max="6421" width="9.140625" style="3" customWidth="1"/>
    <col min="6422" max="6657" width="9" style="3"/>
    <col min="6658" max="6658" width="5" style="3" customWidth="1"/>
    <col min="6659" max="6659" width="20.7109375" style="3" customWidth="1"/>
    <col min="6660" max="6660" width="19.140625" style="3" customWidth="1"/>
    <col min="6661" max="6677" width="9.140625" style="3" customWidth="1"/>
    <col min="6678" max="6913" width="9" style="3"/>
    <col min="6914" max="6914" width="5" style="3" customWidth="1"/>
    <col min="6915" max="6915" width="20.7109375" style="3" customWidth="1"/>
    <col min="6916" max="6916" width="19.140625" style="3" customWidth="1"/>
    <col min="6917" max="6933" width="9.140625" style="3" customWidth="1"/>
    <col min="6934" max="7169" width="9" style="3"/>
    <col min="7170" max="7170" width="5" style="3" customWidth="1"/>
    <col min="7171" max="7171" width="20.7109375" style="3" customWidth="1"/>
    <col min="7172" max="7172" width="19.140625" style="3" customWidth="1"/>
    <col min="7173" max="7189" width="9.140625" style="3" customWidth="1"/>
    <col min="7190" max="7425" width="9" style="3"/>
    <col min="7426" max="7426" width="5" style="3" customWidth="1"/>
    <col min="7427" max="7427" width="20.7109375" style="3" customWidth="1"/>
    <col min="7428" max="7428" width="19.140625" style="3" customWidth="1"/>
    <col min="7429" max="7445" width="9.140625" style="3" customWidth="1"/>
    <col min="7446" max="7681" width="9" style="3"/>
    <col min="7682" max="7682" width="5" style="3" customWidth="1"/>
    <col min="7683" max="7683" width="20.7109375" style="3" customWidth="1"/>
    <col min="7684" max="7684" width="19.140625" style="3" customWidth="1"/>
    <col min="7685" max="7701" width="9.140625" style="3" customWidth="1"/>
    <col min="7702" max="7937" width="9" style="3"/>
    <col min="7938" max="7938" width="5" style="3" customWidth="1"/>
    <col min="7939" max="7939" width="20.7109375" style="3" customWidth="1"/>
    <col min="7940" max="7940" width="19.140625" style="3" customWidth="1"/>
    <col min="7941" max="7957" width="9.140625" style="3" customWidth="1"/>
    <col min="7958" max="8193" width="9" style="3"/>
    <col min="8194" max="8194" width="5" style="3" customWidth="1"/>
    <col min="8195" max="8195" width="20.7109375" style="3" customWidth="1"/>
    <col min="8196" max="8196" width="19.140625" style="3" customWidth="1"/>
    <col min="8197" max="8213" width="9.140625" style="3" customWidth="1"/>
    <col min="8214" max="8449" width="9" style="3"/>
    <col min="8450" max="8450" width="5" style="3" customWidth="1"/>
    <col min="8451" max="8451" width="20.7109375" style="3" customWidth="1"/>
    <col min="8452" max="8452" width="19.140625" style="3" customWidth="1"/>
    <col min="8453" max="8469" width="9.140625" style="3" customWidth="1"/>
    <col min="8470" max="8705" width="9" style="3"/>
    <col min="8706" max="8706" width="5" style="3" customWidth="1"/>
    <col min="8707" max="8707" width="20.7109375" style="3" customWidth="1"/>
    <col min="8708" max="8708" width="19.140625" style="3" customWidth="1"/>
    <col min="8709" max="8725" width="9.140625" style="3" customWidth="1"/>
    <col min="8726" max="8961" width="9" style="3"/>
    <col min="8962" max="8962" width="5" style="3" customWidth="1"/>
    <col min="8963" max="8963" width="20.7109375" style="3" customWidth="1"/>
    <col min="8964" max="8964" width="19.140625" style="3" customWidth="1"/>
    <col min="8965" max="8981" width="9.140625" style="3" customWidth="1"/>
    <col min="8982" max="9217" width="9" style="3"/>
    <col min="9218" max="9218" width="5" style="3" customWidth="1"/>
    <col min="9219" max="9219" width="20.7109375" style="3" customWidth="1"/>
    <col min="9220" max="9220" width="19.140625" style="3" customWidth="1"/>
    <col min="9221" max="9237" width="9.140625" style="3" customWidth="1"/>
    <col min="9238" max="9473" width="9" style="3"/>
    <col min="9474" max="9474" width="5" style="3" customWidth="1"/>
    <col min="9475" max="9475" width="20.7109375" style="3" customWidth="1"/>
    <col min="9476" max="9476" width="19.140625" style="3" customWidth="1"/>
    <col min="9477" max="9493" width="9.140625" style="3" customWidth="1"/>
    <col min="9494" max="9729" width="9" style="3"/>
    <col min="9730" max="9730" width="5" style="3" customWidth="1"/>
    <col min="9731" max="9731" width="20.7109375" style="3" customWidth="1"/>
    <col min="9732" max="9732" width="19.140625" style="3" customWidth="1"/>
    <col min="9733" max="9749" width="9.140625" style="3" customWidth="1"/>
    <col min="9750" max="9985" width="9" style="3"/>
    <col min="9986" max="9986" width="5" style="3" customWidth="1"/>
    <col min="9987" max="9987" width="20.7109375" style="3" customWidth="1"/>
    <col min="9988" max="9988" width="19.140625" style="3" customWidth="1"/>
    <col min="9989" max="10005" width="9.140625" style="3" customWidth="1"/>
    <col min="10006" max="10241" width="9" style="3"/>
    <col min="10242" max="10242" width="5" style="3" customWidth="1"/>
    <col min="10243" max="10243" width="20.7109375" style="3" customWidth="1"/>
    <col min="10244" max="10244" width="19.140625" style="3" customWidth="1"/>
    <col min="10245" max="10261" width="9.140625" style="3" customWidth="1"/>
    <col min="10262" max="10497" width="9" style="3"/>
    <col min="10498" max="10498" width="5" style="3" customWidth="1"/>
    <col min="10499" max="10499" width="20.7109375" style="3" customWidth="1"/>
    <col min="10500" max="10500" width="19.140625" style="3" customWidth="1"/>
    <col min="10501" max="10517" width="9.140625" style="3" customWidth="1"/>
    <col min="10518" max="10753" width="9" style="3"/>
    <col min="10754" max="10754" width="5" style="3" customWidth="1"/>
    <col min="10755" max="10755" width="20.7109375" style="3" customWidth="1"/>
    <col min="10756" max="10756" width="19.140625" style="3" customWidth="1"/>
    <col min="10757" max="10773" width="9.140625" style="3" customWidth="1"/>
    <col min="10774" max="11009" width="9" style="3"/>
    <col min="11010" max="11010" width="5" style="3" customWidth="1"/>
    <col min="11011" max="11011" width="20.7109375" style="3" customWidth="1"/>
    <col min="11012" max="11012" width="19.140625" style="3" customWidth="1"/>
    <col min="11013" max="11029" width="9.140625" style="3" customWidth="1"/>
    <col min="11030" max="11265" width="9" style="3"/>
    <col min="11266" max="11266" width="5" style="3" customWidth="1"/>
    <col min="11267" max="11267" width="20.7109375" style="3" customWidth="1"/>
    <col min="11268" max="11268" width="19.140625" style="3" customWidth="1"/>
    <col min="11269" max="11285" width="9.140625" style="3" customWidth="1"/>
    <col min="11286" max="11521" width="9" style="3"/>
    <col min="11522" max="11522" width="5" style="3" customWidth="1"/>
    <col min="11523" max="11523" width="20.7109375" style="3" customWidth="1"/>
    <col min="11524" max="11524" width="19.140625" style="3" customWidth="1"/>
    <col min="11525" max="11541" width="9.140625" style="3" customWidth="1"/>
    <col min="11542" max="11777" width="9" style="3"/>
    <col min="11778" max="11778" width="5" style="3" customWidth="1"/>
    <col min="11779" max="11779" width="20.7109375" style="3" customWidth="1"/>
    <col min="11780" max="11780" width="19.140625" style="3" customWidth="1"/>
    <col min="11781" max="11797" width="9.140625" style="3" customWidth="1"/>
    <col min="11798" max="12033" width="9" style="3"/>
    <col min="12034" max="12034" width="5" style="3" customWidth="1"/>
    <col min="12035" max="12035" width="20.7109375" style="3" customWidth="1"/>
    <col min="12036" max="12036" width="19.140625" style="3" customWidth="1"/>
    <col min="12037" max="12053" width="9.140625" style="3" customWidth="1"/>
    <col min="12054" max="12289" width="9" style="3"/>
    <col min="12290" max="12290" width="5" style="3" customWidth="1"/>
    <col min="12291" max="12291" width="20.7109375" style="3" customWidth="1"/>
    <col min="12292" max="12292" width="19.140625" style="3" customWidth="1"/>
    <col min="12293" max="12309" width="9.140625" style="3" customWidth="1"/>
    <col min="12310" max="12545" width="9" style="3"/>
    <col min="12546" max="12546" width="5" style="3" customWidth="1"/>
    <col min="12547" max="12547" width="20.7109375" style="3" customWidth="1"/>
    <col min="12548" max="12548" width="19.140625" style="3" customWidth="1"/>
    <col min="12549" max="12565" width="9.140625" style="3" customWidth="1"/>
    <col min="12566" max="12801" width="9" style="3"/>
    <col min="12802" max="12802" width="5" style="3" customWidth="1"/>
    <col min="12803" max="12803" width="20.7109375" style="3" customWidth="1"/>
    <col min="12804" max="12804" width="19.140625" style="3" customWidth="1"/>
    <col min="12805" max="12821" width="9.140625" style="3" customWidth="1"/>
    <col min="12822" max="13057" width="9" style="3"/>
    <col min="13058" max="13058" width="5" style="3" customWidth="1"/>
    <col min="13059" max="13059" width="20.7109375" style="3" customWidth="1"/>
    <col min="13060" max="13060" width="19.140625" style="3" customWidth="1"/>
    <col min="13061" max="13077" width="9.140625" style="3" customWidth="1"/>
    <col min="13078" max="13313" width="9" style="3"/>
    <col min="13314" max="13314" width="5" style="3" customWidth="1"/>
    <col min="13315" max="13315" width="20.7109375" style="3" customWidth="1"/>
    <col min="13316" max="13316" width="19.140625" style="3" customWidth="1"/>
    <col min="13317" max="13333" width="9.140625" style="3" customWidth="1"/>
    <col min="13334" max="13569" width="9" style="3"/>
    <col min="13570" max="13570" width="5" style="3" customWidth="1"/>
    <col min="13571" max="13571" width="20.7109375" style="3" customWidth="1"/>
    <col min="13572" max="13572" width="19.140625" style="3" customWidth="1"/>
    <col min="13573" max="13589" width="9.140625" style="3" customWidth="1"/>
    <col min="13590" max="13825" width="9" style="3"/>
    <col min="13826" max="13826" width="5" style="3" customWidth="1"/>
    <col min="13827" max="13827" width="20.7109375" style="3" customWidth="1"/>
    <col min="13828" max="13828" width="19.140625" style="3" customWidth="1"/>
    <col min="13829" max="13845" width="9.140625" style="3" customWidth="1"/>
    <col min="13846" max="14081" width="9" style="3"/>
    <col min="14082" max="14082" width="5" style="3" customWidth="1"/>
    <col min="14083" max="14083" width="20.7109375" style="3" customWidth="1"/>
    <col min="14084" max="14084" width="19.140625" style="3" customWidth="1"/>
    <col min="14085" max="14101" width="9.140625" style="3" customWidth="1"/>
    <col min="14102" max="14337" width="9" style="3"/>
    <col min="14338" max="14338" width="5" style="3" customWidth="1"/>
    <col min="14339" max="14339" width="20.7109375" style="3" customWidth="1"/>
    <col min="14340" max="14340" width="19.140625" style="3" customWidth="1"/>
    <col min="14341" max="14357" width="9.140625" style="3" customWidth="1"/>
    <col min="14358" max="14593" width="9" style="3"/>
    <col min="14594" max="14594" width="5" style="3" customWidth="1"/>
    <col min="14595" max="14595" width="20.7109375" style="3" customWidth="1"/>
    <col min="14596" max="14596" width="19.140625" style="3" customWidth="1"/>
    <col min="14597" max="14613" width="9.140625" style="3" customWidth="1"/>
    <col min="14614" max="14849" width="9" style="3"/>
    <col min="14850" max="14850" width="5" style="3" customWidth="1"/>
    <col min="14851" max="14851" width="20.7109375" style="3" customWidth="1"/>
    <col min="14852" max="14852" width="19.140625" style="3" customWidth="1"/>
    <col min="14853" max="14869" width="9.140625" style="3" customWidth="1"/>
    <col min="14870" max="15105" width="9" style="3"/>
    <col min="15106" max="15106" width="5" style="3" customWidth="1"/>
    <col min="15107" max="15107" width="20.7109375" style="3" customWidth="1"/>
    <col min="15108" max="15108" width="19.140625" style="3" customWidth="1"/>
    <col min="15109" max="15125" width="9.140625" style="3" customWidth="1"/>
    <col min="15126" max="15361" width="9" style="3"/>
    <col min="15362" max="15362" width="5" style="3" customWidth="1"/>
    <col min="15363" max="15363" width="20.7109375" style="3" customWidth="1"/>
    <col min="15364" max="15364" width="19.140625" style="3" customWidth="1"/>
    <col min="15365" max="15381" width="9.140625" style="3" customWidth="1"/>
    <col min="15382" max="15617" width="9" style="3"/>
    <col min="15618" max="15618" width="5" style="3" customWidth="1"/>
    <col min="15619" max="15619" width="20.7109375" style="3" customWidth="1"/>
    <col min="15620" max="15620" width="19.140625" style="3" customWidth="1"/>
    <col min="15621" max="15637" width="9.140625" style="3" customWidth="1"/>
    <col min="15638" max="15873" width="9" style="3"/>
    <col min="15874" max="15874" width="5" style="3" customWidth="1"/>
    <col min="15875" max="15875" width="20.7109375" style="3" customWidth="1"/>
    <col min="15876" max="15876" width="19.140625" style="3" customWidth="1"/>
    <col min="15877" max="15893" width="9.140625" style="3" customWidth="1"/>
    <col min="15894" max="16129" width="9" style="3"/>
    <col min="16130" max="16130" width="5" style="3" customWidth="1"/>
    <col min="16131" max="16131" width="20.7109375" style="3" customWidth="1"/>
    <col min="16132" max="16132" width="19.140625" style="3" customWidth="1"/>
    <col min="16133" max="16149" width="9.140625" style="3" customWidth="1"/>
    <col min="16150" max="16384" width="9" style="3"/>
  </cols>
  <sheetData>
    <row r="1" spans="1:44" ht="33.75" x14ac:dyDescent="0.25">
      <c r="A1" s="135" t="s">
        <v>85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47"/>
      <c r="W1" s="47"/>
    </row>
    <row r="2" spans="1:44" ht="179.2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44" x14ac:dyDescent="0.25">
      <c r="A3" s="133" t="s">
        <v>4</v>
      </c>
      <c r="B3" s="19" t="s">
        <v>65</v>
      </c>
      <c r="C3" s="19" t="s">
        <v>28</v>
      </c>
      <c r="D3" s="120">
        <f>100-(57.98-57.98)/57.98*50</f>
        <v>100</v>
      </c>
      <c r="E3" s="120">
        <f>100-(90-90)/90*50</f>
        <v>100</v>
      </c>
      <c r="F3" s="16">
        <f>100-(57.98-57.98)/57.98*50</f>
        <v>100</v>
      </c>
      <c r="G3" s="16">
        <f>100-(90-90)/90*50</f>
        <v>100</v>
      </c>
      <c r="H3" s="16">
        <f>100-(62.68-62.68)/62.68*50</f>
        <v>100</v>
      </c>
      <c r="I3" s="16">
        <f>100-(24.65-24.65)/24.65*50</f>
        <v>100</v>
      </c>
      <c r="J3" s="16">
        <f>100-(116.02-116.02)/116.02*50</f>
        <v>100</v>
      </c>
      <c r="K3" s="107">
        <f>100-(36.67-36.2)/36.2*50</f>
        <v>99.350828729281773</v>
      </c>
      <c r="L3" s="16">
        <f>100-(62.95-62.95)/62.95*50</f>
        <v>100</v>
      </c>
      <c r="M3" s="16"/>
      <c r="N3" s="16"/>
      <c r="O3" s="107">
        <f>100-(42.35-32.7)/32.7*50</f>
        <v>85.24464831804282</v>
      </c>
      <c r="P3" s="16">
        <f>100-(56.67-56.67)/56.67*50</f>
        <v>100</v>
      </c>
      <c r="Q3" s="16">
        <f>100-(67.07-67.07)/67.07*50</f>
        <v>100</v>
      </c>
      <c r="R3" s="107">
        <f>100-(80.98-80.98)/80.98*50</f>
        <v>100</v>
      </c>
      <c r="S3" s="107">
        <f>100-(91.52-91.52)/91.52*50</f>
        <v>100</v>
      </c>
      <c r="T3" s="107">
        <f>100-(87.8-87.8)/87.8*50</f>
        <v>100</v>
      </c>
      <c r="U3" s="134">
        <f>SUM(D3:T3)-O3-K3-R3-S3-T3</f>
        <v>999.99999999999977</v>
      </c>
    </row>
    <row r="4" spans="1:44" x14ac:dyDescent="0.25">
      <c r="A4" s="133" t="s">
        <v>6</v>
      </c>
      <c r="B4" s="19" t="s">
        <v>31</v>
      </c>
      <c r="C4" s="19" t="s">
        <v>87</v>
      </c>
      <c r="D4" s="16">
        <f>100-(79.78-79.78)/79.78*50</f>
        <v>100</v>
      </c>
      <c r="E4" s="16">
        <f>100-(101.95-101.95)/101.95*50</f>
        <v>100</v>
      </c>
      <c r="F4" s="16"/>
      <c r="G4" s="16"/>
      <c r="H4" s="120">
        <v>100</v>
      </c>
      <c r="I4" s="120">
        <v>100</v>
      </c>
      <c r="J4" s="16"/>
      <c r="K4" s="16"/>
      <c r="L4" s="16"/>
      <c r="M4" s="16"/>
      <c r="N4" s="16"/>
      <c r="O4" s="16">
        <f>100-(32.7-32.7)/32.7*50</f>
        <v>100</v>
      </c>
      <c r="P4" s="16">
        <f>100-(57.9-56.67)/56.67*50</f>
        <v>98.914769719428278</v>
      </c>
      <c r="Q4" s="16">
        <f>100-(76.28-67.07)/67.07*50</f>
        <v>93.134039063664815</v>
      </c>
      <c r="R4" s="16">
        <f>100-(93.43-80.98)/80.98*50</f>
        <v>92.312916769572738</v>
      </c>
      <c r="S4" s="16"/>
      <c r="T4" s="16"/>
      <c r="U4" s="134">
        <f t="shared" ref="U4:U14" si="0">SUM(D4:T4)</f>
        <v>784.3617255526658</v>
      </c>
    </row>
    <row r="5" spans="1:44" x14ac:dyDescent="0.25">
      <c r="A5" s="133" t="s">
        <v>8</v>
      </c>
      <c r="B5" s="19" t="s">
        <v>30</v>
      </c>
      <c r="C5" s="19" t="s">
        <v>28</v>
      </c>
      <c r="D5" s="16">
        <f>100-(107.57-79.78)/79.78*50</f>
        <v>82.583354224116334</v>
      </c>
      <c r="E5" s="16">
        <f>100-(121.62-101.95)/101.95*50</f>
        <v>90.353114271701813</v>
      </c>
      <c r="F5" s="19"/>
      <c r="G5" s="19"/>
      <c r="H5" s="16">
        <f>100-(88.13-62.68)/62.68*50</f>
        <v>79.698468410976389</v>
      </c>
      <c r="I5" s="16">
        <f>100-(32.02-24.65)/24.65*50</f>
        <v>85.050709939148064</v>
      </c>
      <c r="J5" s="16"/>
      <c r="K5" s="16"/>
      <c r="L5" s="16"/>
      <c r="M5" s="16">
        <f>100-(23.68-23.68)/23.68*50</f>
        <v>100</v>
      </c>
      <c r="N5" s="16">
        <f>100-(90.58-90.58)/90.58*50</f>
        <v>100</v>
      </c>
      <c r="O5" s="19"/>
      <c r="P5" s="19"/>
      <c r="Q5" s="19"/>
      <c r="R5" s="16"/>
      <c r="S5" s="16"/>
      <c r="T5" s="16"/>
      <c r="U5" s="134">
        <f t="shared" si="0"/>
        <v>537.68564684594253</v>
      </c>
    </row>
    <row r="6" spans="1:44" x14ac:dyDescent="0.25">
      <c r="A6" s="133" t="s">
        <v>11</v>
      </c>
      <c r="B6" s="19" t="s">
        <v>74</v>
      </c>
      <c r="C6" s="19" t="s">
        <v>42</v>
      </c>
      <c r="D6" s="16"/>
      <c r="E6" s="16"/>
      <c r="F6" s="19"/>
      <c r="G6" s="19"/>
      <c r="H6" s="16">
        <f>100-(87.43-62.68)/62.68*50</f>
        <v>80.256860242501588</v>
      </c>
      <c r="I6" s="16">
        <f>100-(35.93-24.65)/24.65*50</f>
        <v>77.119675456389444</v>
      </c>
      <c r="J6" s="16">
        <f>100-(154.15-116.02)/116.02*50</f>
        <v>83.56748836407516</v>
      </c>
      <c r="K6" s="19"/>
      <c r="L6" s="16"/>
      <c r="M6" s="16"/>
      <c r="N6" s="19"/>
      <c r="O6" s="16"/>
      <c r="P6" s="16"/>
      <c r="Q6" s="16"/>
      <c r="R6" s="16"/>
      <c r="S6" s="16"/>
      <c r="T6" s="16"/>
      <c r="U6" s="134">
        <f t="shared" si="0"/>
        <v>240.94402406296618</v>
      </c>
    </row>
    <row r="7" spans="1:44" x14ac:dyDescent="0.25">
      <c r="A7" s="133" t="s">
        <v>13</v>
      </c>
      <c r="B7" s="19" t="s">
        <v>86</v>
      </c>
      <c r="C7" s="19" t="s">
        <v>28</v>
      </c>
      <c r="D7" s="16">
        <f>100-(98.58-79.78)/79.78*50</f>
        <v>88.217598395587871</v>
      </c>
      <c r="E7" s="66" t="s">
        <v>12</v>
      </c>
      <c r="F7" s="16"/>
      <c r="G7" s="16"/>
      <c r="H7" s="16"/>
      <c r="I7" s="16"/>
      <c r="J7" s="16">
        <f>100-(165.75-116.02)/116.02*50</f>
        <v>78.56835028443372</v>
      </c>
      <c r="K7" s="16"/>
      <c r="L7" s="16"/>
      <c r="M7" s="16"/>
      <c r="N7" s="16"/>
      <c r="O7" s="50"/>
      <c r="P7" s="16"/>
      <c r="Q7" s="50"/>
      <c r="R7" s="16"/>
      <c r="S7" s="16"/>
      <c r="T7" s="16"/>
      <c r="U7" s="134">
        <f t="shared" si="0"/>
        <v>166.78594868002159</v>
      </c>
    </row>
    <row r="8" spans="1:44" x14ac:dyDescent="0.25">
      <c r="A8" s="133" t="s">
        <v>15</v>
      </c>
      <c r="B8" s="19" t="s">
        <v>136</v>
      </c>
      <c r="C8" s="19" t="s">
        <v>119</v>
      </c>
      <c r="D8" s="16"/>
      <c r="E8" s="16"/>
      <c r="F8" s="16"/>
      <c r="G8" s="16"/>
      <c r="H8" s="16"/>
      <c r="I8" s="19"/>
      <c r="J8" s="16"/>
      <c r="K8" s="16">
        <f>100-(54.65-36.2)/36.2*50</f>
        <v>74.516574585635368</v>
      </c>
      <c r="L8" s="16"/>
      <c r="M8" s="16"/>
      <c r="N8" s="19"/>
      <c r="O8" s="19"/>
      <c r="P8" s="19"/>
      <c r="Q8" s="16">
        <f>100-(115.43-67.07)/67.07*50</f>
        <v>63.94811391083941</v>
      </c>
      <c r="R8" s="19"/>
      <c r="S8" s="16"/>
      <c r="T8" s="16"/>
      <c r="U8" s="134">
        <f t="shared" si="0"/>
        <v>138.46468849647476</v>
      </c>
    </row>
    <row r="9" spans="1:44" x14ac:dyDescent="0.25">
      <c r="A9" s="133" t="s">
        <v>17</v>
      </c>
      <c r="B9" s="19" t="s">
        <v>140</v>
      </c>
      <c r="C9" s="19" t="s">
        <v>5</v>
      </c>
      <c r="D9" s="27"/>
      <c r="E9" s="16"/>
      <c r="F9" s="16"/>
      <c r="G9" s="16"/>
      <c r="H9" s="16"/>
      <c r="I9" s="19"/>
      <c r="J9" s="16"/>
      <c r="K9" s="16">
        <f>100-(36.2-36.2)/36.2*50</f>
        <v>100</v>
      </c>
      <c r="L9" s="16"/>
      <c r="M9" s="16"/>
      <c r="N9" s="16"/>
      <c r="O9" s="16"/>
      <c r="P9" s="16"/>
      <c r="Q9" s="16"/>
      <c r="R9" s="16"/>
      <c r="S9" s="16"/>
      <c r="T9" s="16"/>
      <c r="U9" s="134">
        <f t="shared" si="0"/>
        <v>100</v>
      </c>
    </row>
    <row r="10" spans="1:44" x14ac:dyDescent="0.25">
      <c r="A10" s="133" t="s">
        <v>18</v>
      </c>
      <c r="B10" s="19" t="s">
        <v>133</v>
      </c>
      <c r="C10" s="19" t="s">
        <v>59</v>
      </c>
      <c r="D10" s="16"/>
      <c r="E10" s="16"/>
      <c r="F10" s="16"/>
      <c r="G10" s="16"/>
      <c r="H10" s="16"/>
      <c r="I10" s="19"/>
      <c r="J10" s="16"/>
      <c r="K10" s="16">
        <f>100-(48.02-36.2)/36.2*50</f>
        <v>83.674033149171265</v>
      </c>
      <c r="L10" s="16"/>
      <c r="M10" s="16"/>
      <c r="N10" s="19"/>
      <c r="O10" s="19"/>
      <c r="P10" s="19"/>
      <c r="Q10" s="19"/>
      <c r="R10" s="19"/>
      <c r="S10" s="16"/>
      <c r="T10" s="16"/>
      <c r="U10" s="134">
        <f t="shared" si="0"/>
        <v>83.674033149171265</v>
      </c>
    </row>
    <row r="11" spans="1:44" x14ac:dyDescent="0.25">
      <c r="A11" s="133" t="s">
        <v>19</v>
      </c>
      <c r="B11" s="19" t="s">
        <v>67</v>
      </c>
      <c r="C11" s="19" t="s">
        <v>177</v>
      </c>
      <c r="D11" s="16"/>
      <c r="E11" s="16"/>
      <c r="F11" s="16"/>
      <c r="G11" s="16"/>
      <c r="H11" s="16"/>
      <c r="I11" s="19"/>
      <c r="J11" s="16"/>
      <c r="K11" s="16"/>
      <c r="L11" s="16"/>
      <c r="M11" s="16"/>
      <c r="N11" s="19"/>
      <c r="O11" s="19"/>
      <c r="P11" s="19"/>
      <c r="Q11" s="16">
        <f>100-(90.88-67.07)/67.07*50</f>
        <v>82.249888176531982</v>
      </c>
      <c r="R11" s="19"/>
      <c r="S11" s="16"/>
      <c r="T11" s="16"/>
      <c r="U11" s="134">
        <f t="shared" si="0"/>
        <v>82.249888176531982</v>
      </c>
    </row>
    <row r="12" spans="1:44" x14ac:dyDescent="0.25">
      <c r="A12" s="133" t="s">
        <v>20</v>
      </c>
      <c r="B12" s="19" t="s">
        <v>141</v>
      </c>
      <c r="C12" s="19" t="s">
        <v>59</v>
      </c>
      <c r="D12" s="19"/>
      <c r="E12" s="16"/>
      <c r="F12" s="19"/>
      <c r="G12" s="19"/>
      <c r="H12" s="19"/>
      <c r="I12" s="19"/>
      <c r="J12" s="16"/>
      <c r="K12" s="16">
        <f>100-(57.92-36.2)/36.2*50</f>
        <v>70</v>
      </c>
      <c r="L12" s="16"/>
      <c r="M12" s="16"/>
      <c r="N12" s="19"/>
      <c r="O12" s="19"/>
      <c r="P12" s="16"/>
      <c r="Q12" s="16"/>
      <c r="R12" s="19"/>
      <c r="S12" s="19"/>
      <c r="T12" s="19"/>
      <c r="U12" s="134">
        <f t="shared" si="0"/>
        <v>70</v>
      </c>
    </row>
    <row r="13" spans="1:44" x14ac:dyDescent="0.25">
      <c r="A13" s="133" t="s">
        <v>21</v>
      </c>
      <c r="B13" s="19" t="s">
        <v>142</v>
      </c>
      <c r="C13" s="19" t="s">
        <v>119</v>
      </c>
      <c r="D13" s="16"/>
      <c r="E13" s="16"/>
      <c r="F13" s="16"/>
      <c r="G13" s="16"/>
      <c r="H13" s="16"/>
      <c r="I13" s="19"/>
      <c r="J13" s="16"/>
      <c r="K13" s="16">
        <f>100-(66.57-36.2)/36.2*50</f>
        <v>58.052486187845318</v>
      </c>
      <c r="L13" s="16"/>
      <c r="M13" s="16"/>
      <c r="N13" s="19"/>
      <c r="O13" s="19"/>
      <c r="P13" s="19"/>
      <c r="Q13" s="19"/>
      <c r="R13" s="19"/>
      <c r="S13" s="16"/>
      <c r="T13" s="16"/>
      <c r="U13" s="134">
        <f t="shared" si="0"/>
        <v>58.052486187845318</v>
      </c>
    </row>
    <row r="14" spans="1:44" x14ac:dyDescent="0.25">
      <c r="A14" s="133" t="s">
        <v>23</v>
      </c>
      <c r="B14" s="19" t="s">
        <v>81</v>
      </c>
      <c r="C14" s="19" t="s">
        <v>87</v>
      </c>
      <c r="D14" s="16"/>
      <c r="E14" s="16"/>
      <c r="F14" s="16"/>
      <c r="G14" s="16"/>
      <c r="H14" s="16"/>
      <c r="I14" s="19"/>
      <c r="J14" s="16"/>
      <c r="K14" s="16"/>
      <c r="L14" s="16"/>
      <c r="M14" s="16"/>
      <c r="N14" s="19"/>
      <c r="O14" s="19"/>
      <c r="P14" s="16">
        <f>100-(114.9-56.67)/56.67*50</f>
        <v>48.623610375860238</v>
      </c>
      <c r="Q14" s="19"/>
      <c r="R14" s="19"/>
      <c r="S14" s="16"/>
      <c r="T14" s="16"/>
      <c r="U14" s="134">
        <f t="shared" si="0"/>
        <v>48.623610375860238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s="46" customFormat="1" x14ac:dyDescent="0.25">
      <c r="A15" s="2"/>
      <c r="B15" s="2"/>
      <c r="C15" s="2"/>
      <c r="D15" s="2"/>
      <c r="E15" s="2"/>
      <c r="F15" s="2"/>
      <c r="G15" s="2"/>
      <c r="H15" s="2"/>
      <c r="I15" s="2"/>
      <c r="J15" s="34"/>
      <c r="K15" s="2"/>
      <c r="L15" s="34"/>
      <c r="M15" s="45"/>
      <c r="N15" s="2"/>
      <c r="O15" s="2"/>
      <c r="P15" s="2"/>
      <c r="Q15" s="2"/>
      <c r="R15" s="2"/>
      <c r="S15" s="2"/>
      <c r="T15" s="2"/>
      <c r="U15" s="37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s="2" customFormat="1" x14ac:dyDescent="0.25">
      <c r="L16" s="34"/>
      <c r="M16" s="45"/>
      <c r="N16" s="34"/>
      <c r="O16" s="34"/>
      <c r="P16" s="34"/>
      <c r="Q16" s="34"/>
      <c r="R16" s="34"/>
      <c r="U16" s="37"/>
    </row>
    <row r="17" spans="1:21" s="2" customFormat="1" x14ac:dyDescent="0.25">
      <c r="A17" s="106" t="s">
        <v>159</v>
      </c>
      <c r="B17" s="106"/>
      <c r="U17" s="34"/>
    </row>
    <row r="18" spans="1:21" s="39" customFormat="1" x14ac:dyDescent="0.25">
      <c r="A18" s="39" t="s">
        <v>26</v>
      </c>
    </row>
    <row r="19" spans="1:21" s="40" customFormat="1" x14ac:dyDescent="0.25">
      <c r="A19" s="40" t="s">
        <v>27</v>
      </c>
    </row>
  </sheetData>
  <sortState ref="B3:V14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Q2" sqref="Q2:R2"/>
    </sheetView>
  </sheetViews>
  <sheetFormatPr defaultColWidth="9" defaultRowHeight="15" x14ac:dyDescent="0.25"/>
  <cols>
    <col min="1" max="1" width="5.140625" style="3" customWidth="1"/>
    <col min="2" max="2" width="20.85546875" style="3" customWidth="1"/>
    <col min="3" max="3" width="9" style="3"/>
    <col min="4" max="7" width="9.140625" style="41" customWidth="1"/>
    <col min="8" max="22" width="9.140625" style="3" customWidth="1"/>
    <col min="23" max="32" width="9" style="2"/>
    <col min="33" max="258" width="9" style="3"/>
    <col min="259" max="259" width="5.140625" style="3" customWidth="1"/>
    <col min="260" max="260" width="20.85546875" style="3" customWidth="1"/>
    <col min="261" max="261" width="9" style="3"/>
    <col min="262" max="278" width="9.140625" style="3" customWidth="1"/>
    <col min="279" max="514" width="9" style="3"/>
    <col min="515" max="515" width="5.140625" style="3" customWidth="1"/>
    <col min="516" max="516" width="20.85546875" style="3" customWidth="1"/>
    <col min="517" max="517" width="9" style="3"/>
    <col min="518" max="534" width="9.140625" style="3" customWidth="1"/>
    <col min="535" max="770" width="9" style="3"/>
    <col min="771" max="771" width="5.140625" style="3" customWidth="1"/>
    <col min="772" max="772" width="20.85546875" style="3" customWidth="1"/>
    <col min="773" max="773" width="9" style="3"/>
    <col min="774" max="790" width="9.140625" style="3" customWidth="1"/>
    <col min="791" max="1026" width="9" style="3"/>
    <col min="1027" max="1027" width="5.140625" style="3" customWidth="1"/>
    <col min="1028" max="1028" width="20.85546875" style="3" customWidth="1"/>
    <col min="1029" max="1029" width="9" style="3"/>
    <col min="1030" max="1046" width="9.140625" style="3" customWidth="1"/>
    <col min="1047" max="1282" width="9" style="3"/>
    <col min="1283" max="1283" width="5.140625" style="3" customWidth="1"/>
    <col min="1284" max="1284" width="20.85546875" style="3" customWidth="1"/>
    <col min="1285" max="1285" width="9" style="3"/>
    <col min="1286" max="1302" width="9.140625" style="3" customWidth="1"/>
    <col min="1303" max="1538" width="9" style="3"/>
    <col min="1539" max="1539" width="5.140625" style="3" customWidth="1"/>
    <col min="1540" max="1540" width="20.85546875" style="3" customWidth="1"/>
    <col min="1541" max="1541" width="9" style="3"/>
    <col min="1542" max="1558" width="9.140625" style="3" customWidth="1"/>
    <col min="1559" max="1794" width="9" style="3"/>
    <col min="1795" max="1795" width="5.140625" style="3" customWidth="1"/>
    <col min="1796" max="1796" width="20.85546875" style="3" customWidth="1"/>
    <col min="1797" max="1797" width="9" style="3"/>
    <col min="1798" max="1814" width="9.140625" style="3" customWidth="1"/>
    <col min="1815" max="2050" width="9" style="3"/>
    <col min="2051" max="2051" width="5.140625" style="3" customWidth="1"/>
    <col min="2052" max="2052" width="20.85546875" style="3" customWidth="1"/>
    <col min="2053" max="2053" width="9" style="3"/>
    <col min="2054" max="2070" width="9.140625" style="3" customWidth="1"/>
    <col min="2071" max="2306" width="9" style="3"/>
    <col min="2307" max="2307" width="5.140625" style="3" customWidth="1"/>
    <col min="2308" max="2308" width="20.85546875" style="3" customWidth="1"/>
    <col min="2309" max="2309" width="9" style="3"/>
    <col min="2310" max="2326" width="9.140625" style="3" customWidth="1"/>
    <col min="2327" max="2562" width="9" style="3"/>
    <col min="2563" max="2563" width="5.140625" style="3" customWidth="1"/>
    <col min="2564" max="2564" width="20.85546875" style="3" customWidth="1"/>
    <col min="2565" max="2565" width="9" style="3"/>
    <col min="2566" max="2582" width="9.140625" style="3" customWidth="1"/>
    <col min="2583" max="2818" width="9" style="3"/>
    <col min="2819" max="2819" width="5.140625" style="3" customWidth="1"/>
    <col min="2820" max="2820" width="20.85546875" style="3" customWidth="1"/>
    <col min="2821" max="2821" width="9" style="3"/>
    <col min="2822" max="2838" width="9.140625" style="3" customWidth="1"/>
    <col min="2839" max="3074" width="9" style="3"/>
    <col min="3075" max="3075" width="5.140625" style="3" customWidth="1"/>
    <col min="3076" max="3076" width="20.85546875" style="3" customWidth="1"/>
    <col min="3077" max="3077" width="9" style="3"/>
    <col min="3078" max="3094" width="9.140625" style="3" customWidth="1"/>
    <col min="3095" max="3330" width="9" style="3"/>
    <col min="3331" max="3331" width="5.140625" style="3" customWidth="1"/>
    <col min="3332" max="3332" width="20.85546875" style="3" customWidth="1"/>
    <col min="3333" max="3333" width="9" style="3"/>
    <col min="3334" max="3350" width="9.140625" style="3" customWidth="1"/>
    <col min="3351" max="3586" width="9" style="3"/>
    <col min="3587" max="3587" width="5.140625" style="3" customWidth="1"/>
    <col min="3588" max="3588" width="20.85546875" style="3" customWidth="1"/>
    <col min="3589" max="3589" width="9" style="3"/>
    <col min="3590" max="3606" width="9.140625" style="3" customWidth="1"/>
    <col min="3607" max="3842" width="9" style="3"/>
    <col min="3843" max="3843" width="5.140625" style="3" customWidth="1"/>
    <col min="3844" max="3844" width="20.85546875" style="3" customWidth="1"/>
    <col min="3845" max="3845" width="9" style="3"/>
    <col min="3846" max="3862" width="9.140625" style="3" customWidth="1"/>
    <col min="3863" max="4098" width="9" style="3"/>
    <col min="4099" max="4099" width="5.140625" style="3" customWidth="1"/>
    <col min="4100" max="4100" width="20.85546875" style="3" customWidth="1"/>
    <col min="4101" max="4101" width="9" style="3"/>
    <col min="4102" max="4118" width="9.140625" style="3" customWidth="1"/>
    <col min="4119" max="4354" width="9" style="3"/>
    <col min="4355" max="4355" width="5.140625" style="3" customWidth="1"/>
    <col min="4356" max="4356" width="20.85546875" style="3" customWidth="1"/>
    <col min="4357" max="4357" width="9" style="3"/>
    <col min="4358" max="4374" width="9.140625" style="3" customWidth="1"/>
    <col min="4375" max="4610" width="9" style="3"/>
    <col min="4611" max="4611" width="5.140625" style="3" customWidth="1"/>
    <col min="4612" max="4612" width="20.85546875" style="3" customWidth="1"/>
    <col min="4613" max="4613" width="9" style="3"/>
    <col min="4614" max="4630" width="9.140625" style="3" customWidth="1"/>
    <col min="4631" max="4866" width="9" style="3"/>
    <col min="4867" max="4867" width="5.140625" style="3" customWidth="1"/>
    <col min="4868" max="4868" width="20.85546875" style="3" customWidth="1"/>
    <col min="4869" max="4869" width="9" style="3"/>
    <col min="4870" max="4886" width="9.140625" style="3" customWidth="1"/>
    <col min="4887" max="5122" width="9" style="3"/>
    <col min="5123" max="5123" width="5.140625" style="3" customWidth="1"/>
    <col min="5124" max="5124" width="20.85546875" style="3" customWidth="1"/>
    <col min="5125" max="5125" width="9" style="3"/>
    <col min="5126" max="5142" width="9.140625" style="3" customWidth="1"/>
    <col min="5143" max="5378" width="9" style="3"/>
    <col min="5379" max="5379" width="5.140625" style="3" customWidth="1"/>
    <col min="5380" max="5380" width="20.85546875" style="3" customWidth="1"/>
    <col min="5381" max="5381" width="9" style="3"/>
    <col min="5382" max="5398" width="9.140625" style="3" customWidth="1"/>
    <col min="5399" max="5634" width="9" style="3"/>
    <col min="5635" max="5635" width="5.140625" style="3" customWidth="1"/>
    <col min="5636" max="5636" width="20.85546875" style="3" customWidth="1"/>
    <col min="5637" max="5637" width="9" style="3"/>
    <col min="5638" max="5654" width="9.140625" style="3" customWidth="1"/>
    <col min="5655" max="5890" width="9" style="3"/>
    <col min="5891" max="5891" width="5.140625" style="3" customWidth="1"/>
    <col min="5892" max="5892" width="20.85546875" style="3" customWidth="1"/>
    <col min="5893" max="5893" width="9" style="3"/>
    <col min="5894" max="5910" width="9.140625" style="3" customWidth="1"/>
    <col min="5911" max="6146" width="9" style="3"/>
    <col min="6147" max="6147" width="5.140625" style="3" customWidth="1"/>
    <col min="6148" max="6148" width="20.85546875" style="3" customWidth="1"/>
    <col min="6149" max="6149" width="9" style="3"/>
    <col min="6150" max="6166" width="9.140625" style="3" customWidth="1"/>
    <col min="6167" max="6402" width="9" style="3"/>
    <col min="6403" max="6403" width="5.140625" style="3" customWidth="1"/>
    <col min="6404" max="6404" width="20.85546875" style="3" customWidth="1"/>
    <col min="6405" max="6405" width="9" style="3"/>
    <col min="6406" max="6422" width="9.140625" style="3" customWidth="1"/>
    <col min="6423" max="6658" width="9" style="3"/>
    <col min="6659" max="6659" width="5.140625" style="3" customWidth="1"/>
    <col min="6660" max="6660" width="20.85546875" style="3" customWidth="1"/>
    <col min="6661" max="6661" width="9" style="3"/>
    <col min="6662" max="6678" width="9.140625" style="3" customWidth="1"/>
    <col min="6679" max="6914" width="9" style="3"/>
    <col min="6915" max="6915" width="5.140625" style="3" customWidth="1"/>
    <col min="6916" max="6916" width="20.85546875" style="3" customWidth="1"/>
    <col min="6917" max="6917" width="9" style="3"/>
    <col min="6918" max="6934" width="9.140625" style="3" customWidth="1"/>
    <col min="6935" max="7170" width="9" style="3"/>
    <col min="7171" max="7171" width="5.140625" style="3" customWidth="1"/>
    <col min="7172" max="7172" width="20.85546875" style="3" customWidth="1"/>
    <col min="7173" max="7173" width="9" style="3"/>
    <col min="7174" max="7190" width="9.140625" style="3" customWidth="1"/>
    <col min="7191" max="7426" width="9" style="3"/>
    <col min="7427" max="7427" width="5.140625" style="3" customWidth="1"/>
    <col min="7428" max="7428" width="20.85546875" style="3" customWidth="1"/>
    <col min="7429" max="7429" width="9" style="3"/>
    <col min="7430" max="7446" width="9.140625" style="3" customWidth="1"/>
    <col min="7447" max="7682" width="9" style="3"/>
    <col min="7683" max="7683" width="5.140625" style="3" customWidth="1"/>
    <col min="7684" max="7684" width="20.85546875" style="3" customWidth="1"/>
    <col min="7685" max="7685" width="9" style="3"/>
    <col min="7686" max="7702" width="9.140625" style="3" customWidth="1"/>
    <col min="7703" max="7938" width="9" style="3"/>
    <col min="7939" max="7939" width="5.140625" style="3" customWidth="1"/>
    <col min="7940" max="7940" width="20.85546875" style="3" customWidth="1"/>
    <col min="7941" max="7941" width="9" style="3"/>
    <col min="7942" max="7958" width="9.140625" style="3" customWidth="1"/>
    <col min="7959" max="8194" width="9" style="3"/>
    <col min="8195" max="8195" width="5.140625" style="3" customWidth="1"/>
    <col min="8196" max="8196" width="20.85546875" style="3" customWidth="1"/>
    <col min="8197" max="8197" width="9" style="3"/>
    <col min="8198" max="8214" width="9.140625" style="3" customWidth="1"/>
    <col min="8215" max="8450" width="9" style="3"/>
    <col min="8451" max="8451" width="5.140625" style="3" customWidth="1"/>
    <col min="8452" max="8452" width="20.85546875" style="3" customWidth="1"/>
    <col min="8453" max="8453" width="9" style="3"/>
    <col min="8454" max="8470" width="9.140625" style="3" customWidth="1"/>
    <col min="8471" max="8706" width="9" style="3"/>
    <col min="8707" max="8707" width="5.140625" style="3" customWidth="1"/>
    <col min="8708" max="8708" width="20.85546875" style="3" customWidth="1"/>
    <col min="8709" max="8709" width="9" style="3"/>
    <col min="8710" max="8726" width="9.140625" style="3" customWidth="1"/>
    <col min="8727" max="8962" width="9" style="3"/>
    <col min="8963" max="8963" width="5.140625" style="3" customWidth="1"/>
    <col min="8964" max="8964" width="20.85546875" style="3" customWidth="1"/>
    <col min="8965" max="8965" width="9" style="3"/>
    <col min="8966" max="8982" width="9.140625" style="3" customWidth="1"/>
    <col min="8983" max="9218" width="9" style="3"/>
    <col min="9219" max="9219" width="5.140625" style="3" customWidth="1"/>
    <col min="9220" max="9220" width="20.85546875" style="3" customWidth="1"/>
    <col min="9221" max="9221" width="9" style="3"/>
    <col min="9222" max="9238" width="9.140625" style="3" customWidth="1"/>
    <col min="9239" max="9474" width="9" style="3"/>
    <col min="9475" max="9475" width="5.140625" style="3" customWidth="1"/>
    <col min="9476" max="9476" width="20.85546875" style="3" customWidth="1"/>
    <col min="9477" max="9477" width="9" style="3"/>
    <col min="9478" max="9494" width="9.140625" style="3" customWidth="1"/>
    <col min="9495" max="9730" width="9" style="3"/>
    <col min="9731" max="9731" width="5.140625" style="3" customWidth="1"/>
    <col min="9732" max="9732" width="20.85546875" style="3" customWidth="1"/>
    <col min="9733" max="9733" width="9" style="3"/>
    <col min="9734" max="9750" width="9.140625" style="3" customWidth="1"/>
    <col min="9751" max="9986" width="9" style="3"/>
    <col min="9987" max="9987" width="5.140625" style="3" customWidth="1"/>
    <col min="9988" max="9988" width="20.85546875" style="3" customWidth="1"/>
    <col min="9989" max="9989" width="9" style="3"/>
    <col min="9990" max="10006" width="9.140625" style="3" customWidth="1"/>
    <col min="10007" max="10242" width="9" style="3"/>
    <col min="10243" max="10243" width="5.140625" style="3" customWidth="1"/>
    <col min="10244" max="10244" width="20.85546875" style="3" customWidth="1"/>
    <col min="10245" max="10245" width="9" style="3"/>
    <col min="10246" max="10262" width="9.140625" style="3" customWidth="1"/>
    <col min="10263" max="10498" width="9" style="3"/>
    <col min="10499" max="10499" width="5.140625" style="3" customWidth="1"/>
    <col min="10500" max="10500" width="20.85546875" style="3" customWidth="1"/>
    <col min="10501" max="10501" width="9" style="3"/>
    <col min="10502" max="10518" width="9.140625" style="3" customWidth="1"/>
    <col min="10519" max="10754" width="9" style="3"/>
    <col min="10755" max="10755" width="5.140625" style="3" customWidth="1"/>
    <col min="10756" max="10756" width="20.85546875" style="3" customWidth="1"/>
    <col min="10757" max="10757" width="9" style="3"/>
    <col min="10758" max="10774" width="9.140625" style="3" customWidth="1"/>
    <col min="10775" max="11010" width="9" style="3"/>
    <col min="11011" max="11011" width="5.140625" style="3" customWidth="1"/>
    <col min="11012" max="11012" width="20.85546875" style="3" customWidth="1"/>
    <col min="11013" max="11013" width="9" style="3"/>
    <col min="11014" max="11030" width="9.140625" style="3" customWidth="1"/>
    <col min="11031" max="11266" width="9" style="3"/>
    <col min="11267" max="11267" width="5.140625" style="3" customWidth="1"/>
    <col min="11268" max="11268" width="20.85546875" style="3" customWidth="1"/>
    <col min="11269" max="11269" width="9" style="3"/>
    <col min="11270" max="11286" width="9.140625" style="3" customWidth="1"/>
    <col min="11287" max="11522" width="9" style="3"/>
    <col min="11523" max="11523" width="5.140625" style="3" customWidth="1"/>
    <col min="11524" max="11524" width="20.85546875" style="3" customWidth="1"/>
    <col min="11525" max="11525" width="9" style="3"/>
    <col min="11526" max="11542" width="9.140625" style="3" customWidth="1"/>
    <col min="11543" max="11778" width="9" style="3"/>
    <col min="11779" max="11779" width="5.140625" style="3" customWidth="1"/>
    <col min="11780" max="11780" width="20.85546875" style="3" customWidth="1"/>
    <col min="11781" max="11781" width="9" style="3"/>
    <col min="11782" max="11798" width="9.140625" style="3" customWidth="1"/>
    <col min="11799" max="12034" width="9" style="3"/>
    <col min="12035" max="12035" width="5.140625" style="3" customWidth="1"/>
    <col min="12036" max="12036" width="20.85546875" style="3" customWidth="1"/>
    <col min="12037" max="12037" width="9" style="3"/>
    <col min="12038" max="12054" width="9.140625" style="3" customWidth="1"/>
    <col min="12055" max="12290" width="9" style="3"/>
    <col min="12291" max="12291" width="5.140625" style="3" customWidth="1"/>
    <col min="12292" max="12292" width="20.85546875" style="3" customWidth="1"/>
    <col min="12293" max="12293" width="9" style="3"/>
    <col min="12294" max="12310" width="9.140625" style="3" customWidth="1"/>
    <col min="12311" max="12546" width="9" style="3"/>
    <col min="12547" max="12547" width="5.140625" style="3" customWidth="1"/>
    <col min="12548" max="12548" width="20.85546875" style="3" customWidth="1"/>
    <col min="12549" max="12549" width="9" style="3"/>
    <col min="12550" max="12566" width="9.140625" style="3" customWidth="1"/>
    <col min="12567" max="12802" width="9" style="3"/>
    <col min="12803" max="12803" width="5.140625" style="3" customWidth="1"/>
    <col min="12804" max="12804" width="20.85546875" style="3" customWidth="1"/>
    <col min="12805" max="12805" width="9" style="3"/>
    <col min="12806" max="12822" width="9.140625" style="3" customWidth="1"/>
    <col min="12823" max="13058" width="9" style="3"/>
    <col min="13059" max="13059" width="5.140625" style="3" customWidth="1"/>
    <col min="13060" max="13060" width="20.85546875" style="3" customWidth="1"/>
    <col min="13061" max="13061" width="9" style="3"/>
    <col min="13062" max="13078" width="9.140625" style="3" customWidth="1"/>
    <col min="13079" max="13314" width="9" style="3"/>
    <col min="13315" max="13315" width="5.140625" style="3" customWidth="1"/>
    <col min="13316" max="13316" width="20.85546875" style="3" customWidth="1"/>
    <col min="13317" max="13317" width="9" style="3"/>
    <col min="13318" max="13334" width="9.140625" style="3" customWidth="1"/>
    <col min="13335" max="13570" width="9" style="3"/>
    <col min="13571" max="13571" width="5.140625" style="3" customWidth="1"/>
    <col min="13572" max="13572" width="20.85546875" style="3" customWidth="1"/>
    <col min="13573" max="13573" width="9" style="3"/>
    <col min="13574" max="13590" width="9.140625" style="3" customWidth="1"/>
    <col min="13591" max="13826" width="9" style="3"/>
    <col min="13827" max="13827" width="5.140625" style="3" customWidth="1"/>
    <col min="13828" max="13828" width="20.85546875" style="3" customWidth="1"/>
    <col min="13829" max="13829" width="9" style="3"/>
    <col min="13830" max="13846" width="9.140625" style="3" customWidth="1"/>
    <col min="13847" max="14082" width="9" style="3"/>
    <col min="14083" max="14083" width="5.140625" style="3" customWidth="1"/>
    <col min="14084" max="14084" width="20.85546875" style="3" customWidth="1"/>
    <col min="14085" max="14085" width="9" style="3"/>
    <col min="14086" max="14102" width="9.140625" style="3" customWidth="1"/>
    <col min="14103" max="14338" width="9" style="3"/>
    <col min="14339" max="14339" width="5.140625" style="3" customWidth="1"/>
    <col min="14340" max="14340" width="20.85546875" style="3" customWidth="1"/>
    <col min="14341" max="14341" width="9" style="3"/>
    <col min="14342" max="14358" width="9.140625" style="3" customWidth="1"/>
    <col min="14359" max="14594" width="9" style="3"/>
    <col min="14595" max="14595" width="5.140625" style="3" customWidth="1"/>
    <col min="14596" max="14596" width="20.85546875" style="3" customWidth="1"/>
    <col min="14597" max="14597" width="9" style="3"/>
    <col min="14598" max="14614" width="9.140625" style="3" customWidth="1"/>
    <col min="14615" max="14850" width="9" style="3"/>
    <col min="14851" max="14851" width="5.140625" style="3" customWidth="1"/>
    <col min="14852" max="14852" width="20.85546875" style="3" customWidth="1"/>
    <col min="14853" max="14853" width="9" style="3"/>
    <col min="14854" max="14870" width="9.140625" style="3" customWidth="1"/>
    <col min="14871" max="15106" width="9" style="3"/>
    <col min="15107" max="15107" width="5.140625" style="3" customWidth="1"/>
    <col min="15108" max="15108" width="20.85546875" style="3" customWidth="1"/>
    <col min="15109" max="15109" width="9" style="3"/>
    <col min="15110" max="15126" width="9.140625" style="3" customWidth="1"/>
    <col min="15127" max="15362" width="9" style="3"/>
    <col min="15363" max="15363" width="5.140625" style="3" customWidth="1"/>
    <col min="15364" max="15364" width="20.85546875" style="3" customWidth="1"/>
    <col min="15365" max="15365" width="9" style="3"/>
    <col min="15366" max="15382" width="9.140625" style="3" customWidth="1"/>
    <col min="15383" max="15618" width="9" style="3"/>
    <col min="15619" max="15619" width="5.140625" style="3" customWidth="1"/>
    <col min="15620" max="15620" width="20.85546875" style="3" customWidth="1"/>
    <col min="15621" max="15621" width="9" style="3"/>
    <col min="15622" max="15638" width="9.140625" style="3" customWidth="1"/>
    <col min="15639" max="15874" width="9" style="3"/>
    <col min="15875" max="15875" width="5.140625" style="3" customWidth="1"/>
    <col min="15876" max="15876" width="20.85546875" style="3" customWidth="1"/>
    <col min="15877" max="15877" width="9" style="3"/>
    <col min="15878" max="15894" width="9.140625" style="3" customWidth="1"/>
    <col min="15895" max="16130" width="9" style="3"/>
    <col min="16131" max="16131" width="5.140625" style="3" customWidth="1"/>
    <col min="16132" max="16132" width="20.85546875" style="3" customWidth="1"/>
    <col min="16133" max="16133" width="9" style="3"/>
    <col min="16134" max="16150" width="9.140625" style="3" customWidth="1"/>
    <col min="16151" max="16384" width="9" style="3"/>
  </cols>
  <sheetData>
    <row r="1" spans="1:32" ht="34.5" thickBot="1" x14ac:dyDescent="0.3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6"/>
      <c r="W1" s="47"/>
      <c r="X1" s="47"/>
    </row>
    <row r="2" spans="1:32" ht="162" customHeight="1" thickBot="1" x14ac:dyDescent="0.3">
      <c r="A2" s="4" t="s">
        <v>0</v>
      </c>
      <c r="B2" s="5" t="s">
        <v>1</v>
      </c>
      <c r="C2" s="6" t="s">
        <v>2</v>
      </c>
      <c r="D2" s="90" t="s">
        <v>83</v>
      </c>
      <c r="E2" s="7" t="s">
        <v>84</v>
      </c>
      <c r="F2" s="90" t="s">
        <v>102</v>
      </c>
      <c r="G2" s="90" t="s">
        <v>103</v>
      </c>
      <c r="H2" s="7" t="s">
        <v>109</v>
      </c>
      <c r="I2" s="7" t="s">
        <v>110</v>
      </c>
      <c r="J2" s="7" t="s">
        <v>111</v>
      </c>
      <c r="K2" s="7" t="s">
        <v>138</v>
      </c>
      <c r="L2" s="7" t="s">
        <v>139</v>
      </c>
      <c r="M2" s="7" t="s">
        <v>160</v>
      </c>
      <c r="N2" s="7" t="s">
        <v>161</v>
      </c>
      <c r="O2" s="7" t="s">
        <v>183</v>
      </c>
      <c r="P2" s="7" t="s">
        <v>184</v>
      </c>
      <c r="Q2" s="7" t="s">
        <v>185</v>
      </c>
      <c r="R2" s="7" t="s">
        <v>186</v>
      </c>
      <c r="S2" s="8"/>
      <c r="T2" s="8"/>
      <c r="U2" s="8"/>
      <c r="V2" s="9" t="s">
        <v>3</v>
      </c>
      <c r="W2" s="10"/>
      <c r="X2" s="10"/>
    </row>
    <row r="3" spans="1:32" ht="15.75" thickBot="1" x14ac:dyDescent="0.3">
      <c r="A3" s="85" t="s">
        <v>4</v>
      </c>
      <c r="B3" s="68"/>
      <c r="C3" s="69"/>
      <c r="D3" s="70"/>
      <c r="E3" s="70"/>
      <c r="F3" s="70"/>
      <c r="G3" s="70"/>
      <c r="H3" s="71"/>
      <c r="I3" s="71"/>
      <c r="J3" s="70"/>
      <c r="K3" s="70"/>
      <c r="L3" s="70"/>
      <c r="M3" s="86"/>
      <c r="N3" s="70"/>
      <c r="O3" s="70"/>
      <c r="P3" s="70"/>
      <c r="Q3" s="70"/>
      <c r="R3" s="70"/>
      <c r="S3" s="70"/>
      <c r="T3" s="102"/>
      <c r="U3" s="102"/>
      <c r="V3" s="72"/>
    </row>
    <row r="4" spans="1:32" s="46" customFormat="1" x14ac:dyDescent="0.25">
      <c r="A4" s="51"/>
      <c r="B4" s="2"/>
      <c r="C4" s="2"/>
      <c r="D4" s="38"/>
      <c r="E4" s="38"/>
      <c r="F4" s="38"/>
      <c r="G4" s="38"/>
      <c r="H4" s="2"/>
      <c r="I4" s="2"/>
      <c r="J4" s="2"/>
      <c r="K4" s="2"/>
      <c r="L4" s="52"/>
      <c r="M4" s="52"/>
      <c r="N4" s="2"/>
      <c r="O4" s="2"/>
      <c r="P4" s="2"/>
      <c r="Q4" s="2"/>
      <c r="R4" s="2"/>
      <c r="S4" s="52"/>
      <c r="T4" s="52"/>
      <c r="U4" s="52"/>
      <c r="V4" s="37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s="2" customFormat="1" x14ac:dyDescent="0.25">
      <c r="A5" s="51"/>
      <c r="D5" s="38"/>
      <c r="E5" s="38"/>
      <c r="F5" s="38"/>
      <c r="G5" s="38"/>
      <c r="L5" s="52"/>
      <c r="M5" s="52"/>
      <c r="S5" s="52"/>
      <c r="T5" s="52"/>
      <c r="U5" s="52"/>
      <c r="V5" s="37"/>
    </row>
    <row r="6" spans="1:32" s="2" customFormat="1" x14ac:dyDescent="0.25">
      <c r="D6" s="38"/>
      <c r="E6" s="38"/>
      <c r="F6" s="38"/>
      <c r="G6" s="38"/>
      <c r="V6" s="34"/>
    </row>
    <row r="7" spans="1:32" s="39" customFormat="1" x14ac:dyDescent="0.25">
      <c r="A7" s="39" t="s">
        <v>26</v>
      </c>
    </row>
    <row r="8" spans="1:32" s="40" customFormat="1" x14ac:dyDescent="0.25">
      <c r="A8" s="40" t="s">
        <v>27</v>
      </c>
    </row>
  </sheetData>
  <mergeCells count="1">
    <mergeCell ref="A1:V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Normal="100" workbookViewId="0">
      <selection activeCell="H17" sqref="H17"/>
    </sheetView>
  </sheetViews>
  <sheetFormatPr defaultColWidth="9" defaultRowHeight="15" x14ac:dyDescent="0.25"/>
  <cols>
    <col min="1" max="1" width="5" style="3" customWidth="1"/>
    <col min="2" max="2" width="18.42578125" style="3" customWidth="1"/>
    <col min="3" max="3" width="15.42578125" style="3" customWidth="1"/>
    <col min="4" max="7" width="9.140625" style="41" customWidth="1"/>
    <col min="8" max="21" width="9.140625" style="3" customWidth="1"/>
    <col min="22" max="33" width="9" style="2"/>
    <col min="34" max="257" width="9" style="3"/>
    <col min="258" max="258" width="5" style="3" customWidth="1"/>
    <col min="259" max="259" width="20.85546875" style="3" customWidth="1"/>
    <col min="260" max="260" width="9" style="3"/>
    <col min="261" max="277" width="9.140625" style="3" customWidth="1"/>
    <col min="278" max="513" width="9" style="3"/>
    <col min="514" max="514" width="5" style="3" customWidth="1"/>
    <col min="515" max="515" width="20.85546875" style="3" customWidth="1"/>
    <col min="516" max="516" width="9" style="3"/>
    <col min="517" max="533" width="9.140625" style="3" customWidth="1"/>
    <col min="534" max="769" width="9" style="3"/>
    <col min="770" max="770" width="5" style="3" customWidth="1"/>
    <col min="771" max="771" width="20.85546875" style="3" customWidth="1"/>
    <col min="772" max="772" width="9" style="3"/>
    <col min="773" max="789" width="9.140625" style="3" customWidth="1"/>
    <col min="790" max="1025" width="9" style="3"/>
    <col min="1026" max="1026" width="5" style="3" customWidth="1"/>
    <col min="1027" max="1027" width="20.85546875" style="3" customWidth="1"/>
    <col min="1028" max="1028" width="9" style="3"/>
    <col min="1029" max="1045" width="9.140625" style="3" customWidth="1"/>
    <col min="1046" max="1281" width="9" style="3"/>
    <col min="1282" max="1282" width="5" style="3" customWidth="1"/>
    <col min="1283" max="1283" width="20.85546875" style="3" customWidth="1"/>
    <col min="1284" max="1284" width="9" style="3"/>
    <col min="1285" max="1301" width="9.140625" style="3" customWidth="1"/>
    <col min="1302" max="1537" width="9" style="3"/>
    <col min="1538" max="1538" width="5" style="3" customWidth="1"/>
    <col min="1539" max="1539" width="20.85546875" style="3" customWidth="1"/>
    <col min="1540" max="1540" width="9" style="3"/>
    <col min="1541" max="1557" width="9.140625" style="3" customWidth="1"/>
    <col min="1558" max="1793" width="9" style="3"/>
    <col min="1794" max="1794" width="5" style="3" customWidth="1"/>
    <col min="1795" max="1795" width="20.85546875" style="3" customWidth="1"/>
    <col min="1796" max="1796" width="9" style="3"/>
    <col min="1797" max="1813" width="9.140625" style="3" customWidth="1"/>
    <col min="1814" max="2049" width="9" style="3"/>
    <col min="2050" max="2050" width="5" style="3" customWidth="1"/>
    <col min="2051" max="2051" width="20.85546875" style="3" customWidth="1"/>
    <col min="2052" max="2052" width="9" style="3"/>
    <col min="2053" max="2069" width="9.140625" style="3" customWidth="1"/>
    <col min="2070" max="2305" width="9" style="3"/>
    <col min="2306" max="2306" width="5" style="3" customWidth="1"/>
    <col min="2307" max="2307" width="20.85546875" style="3" customWidth="1"/>
    <col min="2308" max="2308" width="9" style="3"/>
    <col min="2309" max="2325" width="9.140625" style="3" customWidth="1"/>
    <col min="2326" max="2561" width="9" style="3"/>
    <col min="2562" max="2562" width="5" style="3" customWidth="1"/>
    <col min="2563" max="2563" width="20.85546875" style="3" customWidth="1"/>
    <col min="2564" max="2564" width="9" style="3"/>
    <col min="2565" max="2581" width="9.140625" style="3" customWidth="1"/>
    <col min="2582" max="2817" width="9" style="3"/>
    <col min="2818" max="2818" width="5" style="3" customWidth="1"/>
    <col min="2819" max="2819" width="20.85546875" style="3" customWidth="1"/>
    <col min="2820" max="2820" width="9" style="3"/>
    <col min="2821" max="2837" width="9.140625" style="3" customWidth="1"/>
    <col min="2838" max="3073" width="9" style="3"/>
    <col min="3074" max="3074" width="5" style="3" customWidth="1"/>
    <col min="3075" max="3075" width="20.85546875" style="3" customWidth="1"/>
    <col min="3076" max="3076" width="9" style="3"/>
    <col min="3077" max="3093" width="9.140625" style="3" customWidth="1"/>
    <col min="3094" max="3329" width="9" style="3"/>
    <col min="3330" max="3330" width="5" style="3" customWidth="1"/>
    <col min="3331" max="3331" width="20.85546875" style="3" customWidth="1"/>
    <col min="3332" max="3332" width="9" style="3"/>
    <col min="3333" max="3349" width="9.140625" style="3" customWidth="1"/>
    <col min="3350" max="3585" width="9" style="3"/>
    <col min="3586" max="3586" width="5" style="3" customWidth="1"/>
    <col min="3587" max="3587" width="20.85546875" style="3" customWidth="1"/>
    <col min="3588" max="3588" width="9" style="3"/>
    <col min="3589" max="3605" width="9.140625" style="3" customWidth="1"/>
    <col min="3606" max="3841" width="9" style="3"/>
    <col min="3842" max="3842" width="5" style="3" customWidth="1"/>
    <col min="3843" max="3843" width="20.85546875" style="3" customWidth="1"/>
    <col min="3844" max="3844" width="9" style="3"/>
    <col min="3845" max="3861" width="9.140625" style="3" customWidth="1"/>
    <col min="3862" max="4097" width="9" style="3"/>
    <col min="4098" max="4098" width="5" style="3" customWidth="1"/>
    <col min="4099" max="4099" width="20.85546875" style="3" customWidth="1"/>
    <col min="4100" max="4100" width="9" style="3"/>
    <col min="4101" max="4117" width="9.140625" style="3" customWidth="1"/>
    <col min="4118" max="4353" width="9" style="3"/>
    <col min="4354" max="4354" width="5" style="3" customWidth="1"/>
    <col min="4355" max="4355" width="20.85546875" style="3" customWidth="1"/>
    <col min="4356" max="4356" width="9" style="3"/>
    <col min="4357" max="4373" width="9.140625" style="3" customWidth="1"/>
    <col min="4374" max="4609" width="9" style="3"/>
    <col min="4610" max="4610" width="5" style="3" customWidth="1"/>
    <col min="4611" max="4611" width="20.85546875" style="3" customWidth="1"/>
    <col min="4612" max="4612" width="9" style="3"/>
    <col min="4613" max="4629" width="9.140625" style="3" customWidth="1"/>
    <col min="4630" max="4865" width="9" style="3"/>
    <col min="4866" max="4866" width="5" style="3" customWidth="1"/>
    <col min="4867" max="4867" width="20.85546875" style="3" customWidth="1"/>
    <col min="4868" max="4868" width="9" style="3"/>
    <col min="4869" max="4885" width="9.140625" style="3" customWidth="1"/>
    <col min="4886" max="5121" width="9" style="3"/>
    <col min="5122" max="5122" width="5" style="3" customWidth="1"/>
    <col min="5123" max="5123" width="20.85546875" style="3" customWidth="1"/>
    <col min="5124" max="5124" width="9" style="3"/>
    <col min="5125" max="5141" width="9.140625" style="3" customWidth="1"/>
    <col min="5142" max="5377" width="9" style="3"/>
    <col min="5378" max="5378" width="5" style="3" customWidth="1"/>
    <col min="5379" max="5379" width="20.85546875" style="3" customWidth="1"/>
    <col min="5380" max="5380" width="9" style="3"/>
    <col min="5381" max="5397" width="9.140625" style="3" customWidth="1"/>
    <col min="5398" max="5633" width="9" style="3"/>
    <col min="5634" max="5634" width="5" style="3" customWidth="1"/>
    <col min="5635" max="5635" width="20.85546875" style="3" customWidth="1"/>
    <col min="5636" max="5636" width="9" style="3"/>
    <col min="5637" max="5653" width="9.140625" style="3" customWidth="1"/>
    <col min="5654" max="5889" width="9" style="3"/>
    <col min="5890" max="5890" width="5" style="3" customWidth="1"/>
    <col min="5891" max="5891" width="20.85546875" style="3" customWidth="1"/>
    <col min="5892" max="5892" width="9" style="3"/>
    <col min="5893" max="5909" width="9.140625" style="3" customWidth="1"/>
    <col min="5910" max="6145" width="9" style="3"/>
    <col min="6146" max="6146" width="5" style="3" customWidth="1"/>
    <col min="6147" max="6147" width="20.85546875" style="3" customWidth="1"/>
    <col min="6148" max="6148" width="9" style="3"/>
    <col min="6149" max="6165" width="9.140625" style="3" customWidth="1"/>
    <col min="6166" max="6401" width="9" style="3"/>
    <col min="6402" max="6402" width="5" style="3" customWidth="1"/>
    <col min="6403" max="6403" width="20.85546875" style="3" customWidth="1"/>
    <col min="6404" max="6404" width="9" style="3"/>
    <col min="6405" max="6421" width="9.140625" style="3" customWidth="1"/>
    <col min="6422" max="6657" width="9" style="3"/>
    <col min="6658" max="6658" width="5" style="3" customWidth="1"/>
    <col min="6659" max="6659" width="20.85546875" style="3" customWidth="1"/>
    <col min="6660" max="6660" width="9" style="3"/>
    <col min="6661" max="6677" width="9.140625" style="3" customWidth="1"/>
    <col min="6678" max="6913" width="9" style="3"/>
    <col min="6914" max="6914" width="5" style="3" customWidth="1"/>
    <col min="6915" max="6915" width="20.85546875" style="3" customWidth="1"/>
    <col min="6916" max="6916" width="9" style="3"/>
    <col min="6917" max="6933" width="9.140625" style="3" customWidth="1"/>
    <col min="6934" max="7169" width="9" style="3"/>
    <col min="7170" max="7170" width="5" style="3" customWidth="1"/>
    <col min="7171" max="7171" width="20.85546875" style="3" customWidth="1"/>
    <col min="7172" max="7172" width="9" style="3"/>
    <col min="7173" max="7189" width="9.140625" style="3" customWidth="1"/>
    <col min="7190" max="7425" width="9" style="3"/>
    <col min="7426" max="7426" width="5" style="3" customWidth="1"/>
    <col min="7427" max="7427" width="20.85546875" style="3" customWidth="1"/>
    <col min="7428" max="7428" width="9" style="3"/>
    <col min="7429" max="7445" width="9.140625" style="3" customWidth="1"/>
    <col min="7446" max="7681" width="9" style="3"/>
    <col min="7682" max="7682" width="5" style="3" customWidth="1"/>
    <col min="7683" max="7683" width="20.85546875" style="3" customWidth="1"/>
    <col min="7684" max="7684" width="9" style="3"/>
    <col min="7685" max="7701" width="9.140625" style="3" customWidth="1"/>
    <col min="7702" max="7937" width="9" style="3"/>
    <col min="7938" max="7938" width="5" style="3" customWidth="1"/>
    <col min="7939" max="7939" width="20.85546875" style="3" customWidth="1"/>
    <col min="7940" max="7940" width="9" style="3"/>
    <col min="7941" max="7957" width="9.140625" style="3" customWidth="1"/>
    <col min="7958" max="8193" width="9" style="3"/>
    <col min="8194" max="8194" width="5" style="3" customWidth="1"/>
    <col min="8195" max="8195" width="20.85546875" style="3" customWidth="1"/>
    <col min="8196" max="8196" width="9" style="3"/>
    <col min="8197" max="8213" width="9.140625" style="3" customWidth="1"/>
    <col min="8214" max="8449" width="9" style="3"/>
    <col min="8450" max="8450" width="5" style="3" customWidth="1"/>
    <col min="8451" max="8451" width="20.85546875" style="3" customWidth="1"/>
    <col min="8452" max="8452" width="9" style="3"/>
    <col min="8453" max="8469" width="9.140625" style="3" customWidth="1"/>
    <col min="8470" max="8705" width="9" style="3"/>
    <col min="8706" max="8706" width="5" style="3" customWidth="1"/>
    <col min="8707" max="8707" width="20.85546875" style="3" customWidth="1"/>
    <col min="8708" max="8708" width="9" style="3"/>
    <col min="8709" max="8725" width="9.140625" style="3" customWidth="1"/>
    <col min="8726" max="8961" width="9" style="3"/>
    <col min="8962" max="8962" width="5" style="3" customWidth="1"/>
    <col min="8963" max="8963" width="20.85546875" style="3" customWidth="1"/>
    <col min="8964" max="8964" width="9" style="3"/>
    <col min="8965" max="8981" width="9.140625" style="3" customWidth="1"/>
    <col min="8982" max="9217" width="9" style="3"/>
    <col min="9218" max="9218" width="5" style="3" customWidth="1"/>
    <col min="9219" max="9219" width="20.85546875" style="3" customWidth="1"/>
    <col min="9220" max="9220" width="9" style="3"/>
    <col min="9221" max="9237" width="9.140625" style="3" customWidth="1"/>
    <col min="9238" max="9473" width="9" style="3"/>
    <col min="9474" max="9474" width="5" style="3" customWidth="1"/>
    <col min="9475" max="9475" width="20.85546875" style="3" customWidth="1"/>
    <col min="9476" max="9476" width="9" style="3"/>
    <col min="9477" max="9493" width="9.140625" style="3" customWidth="1"/>
    <col min="9494" max="9729" width="9" style="3"/>
    <col min="9730" max="9730" width="5" style="3" customWidth="1"/>
    <col min="9731" max="9731" width="20.85546875" style="3" customWidth="1"/>
    <col min="9732" max="9732" width="9" style="3"/>
    <col min="9733" max="9749" width="9.140625" style="3" customWidth="1"/>
    <col min="9750" max="9985" width="9" style="3"/>
    <col min="9986" max="9986" width="5" style="3" customWidth="1"/>
    <col min="9987" max="9987" width="20.85546875" style="3" customWidth="1"/>
    <col min="9988" max="9988" width="9" style="3"/>
    <col min="9989" max="10005" width="9.140625" style="3" customWidth="1"/>
    <col min="10006" max="10241" width="9" style="3"/>
    <col min="10242" max="10242" width="5" style="3" customWidth="1"/>
    <col min="10243" max="10243" width="20.85546875" style="3" customWidth="1"/>
    <col min="10244" max="10244" width="9" style="3"/>
    <col min="10245" max="10261" width="9.140625" style="3" customWidth="1"/>
    <col min="10262" max="10497" width="9" style="3"/>
    <col min="10498" max="10498" width="5" style="3" customWidth="1"/>
    <col min="10499" max="10499" width="20.85546875" style="3" customWidth="1"/>
    <col min="10500" max="10500" width="9" style="3"/>
    <col min="10501" max="10517" width="9.140625" style="3" customWidth="1"/>
    <col min="10518" max="10753" width="9" style="3"/>
    <col min="10754" max="10754" width="5" style="3" customWidth="1"/>
    <col min="10755" max="10755" width="20.85546875" style="3" customWidth="1"/>
    <col min="10756" max="10756" width="9" style="3"/>
    <col min="10757" max="10773" width="9.140625" style="3" customWidth="1"/>
    <col min="10774" max="11009" width="9" style="3"/>
    <col min="11010" max="11010" width="5" style="3" customWidth="1"/>
    <col min="11011" max="11011" width="20.85546875" style="3" customWidth="1"/>
    <col min="11012" max="11012" width="9" style="3"/>
    <col min="11013" max="11029" width="9.140625" style="3" customWidth="1"/>
    <col min="11030" max="11265" width="9" style="3"/>
    <col min="11266" max="11266" width="5" style="3" customWidth="1"/>
    <col min="11267" max="11267" width="20.85546875" style="3" customWidth="1"/>
    <col min="11268" max="11268" width="9" style="3"/>
    <col min="11269" max="11285" width="9.140625" style="3" customWidth="1"/>
    <col min="11286" max="11521" width="9" style="3"/>
    <col min="11522" max="11522" width="5" style="3" customWidth="1"/>
    <col min="11523" max="11523" width="20.85546875" style="3" customWidth="1"/>
    <col min="11524" max="11524" width="9" style="3"/>
    <col min="11525" max="11541" width="9.140625" style="3" customWidth="1"/>
    <col min="11542" max="11777" width="9" style="3"/>
    <col min="11778" max="11778" width="5" style="3" customWidth="1"/>
    <col min="11779" max="11779" width="20.85546875" style="3" customWidth="1"/>
    <col min="11780" max="11780" width="9" style="3"/>
    <col min="11781" max="11797" width="9.140625" style="3" customWidth="1"/>
    <col min="11798" max="12033" width="9" style="3"/>
    <col min="12034" max="12034" width="5" style="3" customWidth="1"/>
    <col min="12035" max="12035" width="20.85546875" style="3" customWidth="1"/>
    <col min="12036" max="12036" width="9" style="3"/>
    <col min="12037" max="12053" width="9.140625" style="3" customWidth="1"/>
    <col min="12054" max="12289" width="9" style="3"/>
    <col min="12290" max="12290" width="5" style="3" customWidth="1"/>
    <col min="12291" max="12291" width="20.85546875" style="3" customWidth="1"/>
    <col min="12292" max="12292" width="9" style="3"/>
    <col min="12293" max="12309" width="9.140625" style="3" customWidth="1"/>
    <col min="12310" max="12545" width="9" style="3"/>
    <col min="12546" max="12546" width="5" style="3" customWidth="1"/>
    <col min="12547" max="12547" width="20.85546875" style="3" customWidth="1"/>
    <col min="12548" max="12548" width="9" style="3"/>
    <col min="12549" max="12565" width="9.140625" style="3" customWidth="1"/>
    <col min="12566" max="12801" width="9" style="3"/>
    <col min="12802" max="12802" width="5" style="3" customWidth="1"/>
    <col min="12803" max="12803" width="20.85546875" style="3" customWidth="1"/>
    <col min="12804" max="12804" width="9" style="3"/>
    <col min="12805" max="12821" width="9.140625" style="3" customWidth="1"/>
    <col min="12822" max="13057" width="9" style="3"/>
    <col min="13058" max="13058" width="5" style="3" customWidth="1"/>
    <col min="13059" max="13059" width="20.85546875" style="3" customWidth="1"/>
    <col min="13060" max="13060" width="9" style="3"/>
    <col min="13061" max="13077" width="9.140625" style="3" customWidth="1"/>
    <col min="13078" max="13313" width="9" style="3"/>
    <col min="13314" max="13314" width="5" style="3" customWidth="1"/>
    <col min="13315" max="13315" width="20.85546875" style="3" customWidth="1"/>
    <col min="13316" max="13316" width="9" style="3"/>
    <col min="13317" max="13333" width="9.140625" style="3" customWidth="1"/>
    <col min="13334" max="13569" width="9" style="3"/>
    <col min="13570" max="13570" width="5" style="3" customWidth="1"/>
    <col min="13571" max="13571" width="20.85546875" style="3" customWidth="1"/>
    <col min="13572" max="13572" width="9" style="3"/>
    <col min="13573" max="13589" width="9.140625" style="3" customWidth="1"/>
    <col min="13590" max="13825" width="9" style="3"/>
    <col min="13826" max="13826" width="5" style="3" customWidth="1"/>
    <col min="13827" max="13827" width="20.85546875" style="3" customWidth="1"/>
    <col min="13828" max="13828" width="9" style="3"/>
    <col min="13829" max="13845" width="9.140625" style="3" customWidth="1"/>
    <col min="13846" max="14081" width="9" style="3"/>
    <col min="14082" max="14082" width="5" style="3" customWidth="1"/>
    <col min="14083" max="14083" width="20.85546875" style="3" customWidth="1"/>
    <col min="14084" max="14084" width="9" style="3"/>
    <col min="14085" max="14101" width="9.140625" style="3" customWidth="1"/>
    <col min="14102" max="14337" width="9" style="3"/>
    <col min="14338" max="14338" width="5" style="3" customWidth="1"/>
    <col min="14339" max="14339" width="20.85546875" style="3" customWidth="1"/>
    <col min="14340" max="14340" width="9" style="3"/>
    <col min="14341" max="14357" width="9.140625" style="3" customWidth="1"/>
    <col min="14358" max="14593" width="9" style="3"/>
    <col min="14594" max="14594" width="5" style="3" customWidth="1"/>
    <col min="14595" max="14595" width="20.85546875" style="3" customWidth="1"/>
    <col min="14596" max="14596" width="9" style="3"/>
    <col min="14597" max="14613" width="9.140625" style="3" customWidth="1"/>
    <col min="14614" max="14849" width="9" style="3"/>
    <col min="14850" max="14850" width="5" style="3" customWidth="1"/>
    <col min="14851" max="14851" width="20.85546875" style="3" customWidth="1"/>
    <col min="14852" max="14852" width="9" style="3"/>
    <col min="14853" max="14869" width="9.140625" style="3" customWidth="1"/>
    <col min="14870" max="15105" width="9" style="3"/>
    <col min="15106" max="15106" width="5" style="3" customWidth="1"/>
    <col min="15107" max="15107" width="20.85546875" style="3" customWidth="1"/>
    <col min="15108" max="15108" width="9" style="3"/>
    <col min="15109" max="15125" width="9.140625" style="3" customWidth="1"/>
    <col min="15126" max="15361" width="9" style="3"/>
    <col min="15362" max="15362" width="5" style="3" customWidth="1"/>
    <col min="15363" max="15363" width="20.85546875" style="3" customWidth="1"/>
    <col min="15364" max="15364" width="9" style="3"/>
    <col min="15365" max="15381" width="9.140625" style="3" customWidth="1"/>
    <col min="15382" max="15617" width="9" style="3"/>
    <col min="15618" max="15618" width="5" style="3" customWidth="1"/>
    <col min="15619" max="15619" width="20.85546875" style="3" customWidth="1"/>
    <col min="15620" max="15620" width="9" style="3"/>
    <col min="15621" max="15637" width="9.140625" style="3" customWidth="1"/>
    <col min="15638" max="15873" width="9" style="3"/>
    <col min="15874" max="15874" width="5" style="3" customWidth="1"/>
    <col min="15875" max="15875" width="20.85546875" style="3" customWidth="1"/>
    <col min="15876" max="15876" width="9" style="3"/>
    <col min="15877" max="15893" width="9.140625" style="3" customWidth="1"/>
    <col min="15894" max="16129" width="9" style="3"/>
    <col min="16130" max="16130" width="5" style="3" customWidth="1"/>
    <col min="16131" max="16131" width="20.85546875" style="3" customWidth="1"/>
    <col min="16132" max="16132" width="9" style="3"/>
    <col min="16133" max="16149" width="9.140625" style="3" customWidth="1"/>
    <col min="16150" max="16384" width="9" style="3"/>
  </cols>
  <sheetData>
    <row r="1" spans="1:23" ht="33.75" x14ac:dyDescent="0.25">
      <c r="A1" s="135" t="s">
        <v>85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47"/>
      <c r="W1" s="47"/>
    </row>
    <row r="2" spans="1:23" ht="179.2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3" x14ac:dyDescent="0.25">
      <c r="A3" s="133" t="s">
        <v>4</v>
      </c>
      <c r="B3" s="19" t="s">
        <v>57</v>
      </c>
      <c r="C3" s="19" t="s">
        <v>59</v>
      </c>
      <c r="D3" s="16">
        <f>100-(57.38-53.58)/53.58*50</f>
        <v>96.453900709219852</v>
      </c>
      <c r="E3" s="16">
        <f>100-(78.05-74.02)/74.02*50</f>
        <v>97.277762766819777</v>
      </c>
      <c r="F3" s="16"/>
      <c r="G3" s="16"/>
      <c r="H3" s="16">
        <f>100-(59.12-51.68)/51.68*50</f>
        <v>92.801857585139317</v>
      </c>
      <c r="I3" s="16">
        <f>100-(34.85-33.43)/33.43*50</f>
        <v>97.876159138498352</v>
      </c>
      <c r="J3" s="107">
        <f>100-(59.97-43.23)/43.23*50</f>
        <v>80.638445523941698</v>
      </c>
      <c r="K3" s="107">
        <f>100-(41.33-25.48)/25.48*50</f>
        <v>68.897174254317122</v>
      </c>
      <c r="L3" s="107">
        <f>100-(62.4-44.4)/44.4*50</f>
        <v>79.729729729729726</v>
      </c>
      <c r="M3" s="16">
        <f>100-(21.3-21.3)/21.3*50</f>
        <v>100</v>
      </c>
      <c r="N3" s="16">
        <f>100-(40.52-40.52)/40.52*50</f>
        <v>100</v>
      </c>
      <c r="O3" s="107">
        <f>100-(44.53-23.2)/23.2*50</f>
        <v>54.030172413793096</v>
      </c>
      <c r="P3" s="16">
        <f>100-(128.07-103.87)/103.87*50</f>
        <v>88.350823144315015</v>
      </c>
      <c r="Q3" s="16">
        <f>100-(30.83-30.83)/30.83*50</f>
        <v>100</v>
      </c>
      <c r="R3" s="16">
        <f>100-(38.18-36.06)/36.06*50</f>
        <v>97.060454797559629</v>
      </c>
      <c r="S3" s="66" t="s">
        <v>12</v>
      </c>
      <c r="T3" s="16">
        <f>100-(64.08-64.08)/64.08*50</f>
        <v>100</v>
      </c>
      <c r="U3" s="134">
        <f>SUM(D3:T3)-O3-L3-K3-J3</f>
        <v>969.82095814155173</v>
      </c>
    </row>
    <row r="4" spans="1:23" x14ac:dyDescent="0.25">
      <c r="A4" s="133" t="s">
        <v>6</v>
      </c>
      <c r="B4" s="19" t="s">
        <v>68</v>
      </c>
      <c r="C4" s="19" t="s">
        <v>88</v>
      </c>
      <c r="D4" s="16">
        <f>100-(53.58-53.58)/53.58*50</f>
        <v>100</v>
      </c>
      <c r="E4" s="16">
        <f>100-(74.02-74.02)/74.02*50</f>
        <v>100</v>
      </c>
      <c r="F4" s="16"/>
      <c r="G4" s="16"/>
      <c r="H4" s="16">
        <f>100-(51.68-51.68)/51.68*50</f>
        <v>100</v>
      </c>
      <c r="I4" s="16">
        <f>100-(33.43-33.43)/33.43*50</f>
        <v>100</v>
      </c>
      <c r="J4" s="16">
        <f>100-(55.75-43.23)/43.23*50</f>
        <v>85.519315290307645</v>
      </c>
      <c r="K4" s="16">
        <f>100-(33.25-25.48)/25.48*50</f>
        <v>84.752747252747255</v>
      </c>
      <c r="L4" s="16">
        <f>100-(44.4-44.4)/44.4*50</f>
        <v>100</v>
      </c>
      <c r="M4" s="19"/>
      <c r="N4" s="16"/>
      <c r="O4" s="107">
        <f>100-(33.5-23.2)/23.2*50</f>
        <v>77.801724137931032</v>
      </c>
      <c r="P4" s="16">
        <f>100-(103.87-103.87)/103.87*50</f>
        <v>100</v>
      </c>
      <c r="Q4" s="16">
        <f>100-(31.25-30.83)/30.83*50</f>
        <v>99.318845280570869</v>
      </c>
      <c r="R4" s="16">
        <f>100-(36.06-36.06)/36.06*50</f>
        <v>100</v>
      </c>
      <c r="S4" s="19"/>
      <c r="T4" s="16"/>
      <c r="U4" s="134">
        <f>SUM(D4:T4)-O4</f>
        <v>969.59090782362557</v>
      </c>
    </row>
    <row r="5" spans="1:23" x14ac:dyDescent="0.25">
      <c r="A5" s="133" t="s">
        <v>8</v>
      </c>
      <c r="B5" s="19" t="s">
        <v>116</v>
      </c>
      <c r="C5" s="19" t="s">
        <v>59</v>
      </c>
      <c r="D5" s="16"/>
      <c r="E5" s="16"/>
      <c r="F5" s="16"/>
      <c r="G5" s="16"/>
      <c r="H5" s="19"/>
      <c r="I5" s="19"/>
      <c r="J5" s="16">
        <f>100-(43.23-43.23)/43.23*50</f>
        <v>100</v>
      </c>
      <c r="K5" s="16">
        <f>100-(25.48-25.48)/25.48*50</f>
        <v>100</v>
      </c>
      <c r="L5" s="16"/>
      <c r="M5" s="19"/>
      <c r="N5" s="16"/>
      <c r="O5" s="16"/>
      <c r="P5" s="16"/>
      <c r="Q5" s="16"/>
      <c r="R5" s="16"/>
      <c r="S5" s="19"/>
      <c r="T5" s="19"/>
      <c r="U5" s="134">
        <f t="shared" ref="U5:U12" si="0">SUM(D5:T5)</f>
        <v>200</v>
      </c>
    </row>
    <row r="6" spans="1:23" x14ac:dyDescent="0.25">
      <c r="A6" s="133" t="s">
        <v>11</v>
      </c>
      <c r="B6" s="19" t="s">
        <v>166</v>
      </c>
      <c r="C6" s="19" t="s">
        <v>165</v>
      </c>
      <c r="D6" s="16"/>
      <c r="E6" s="16"/>
      <c r="F6" s="16"/>
      <c r="G6" s="16"/>
      <c r="H6" s="19"/>
      <c r="I6" s="19"/>
      <c r="J6" s="66"/>
      <c r="K6" s="16"/>
      <c r="L6" s="16"/>
      <c r="M6" s="19"/>
      <c r="N6" s="16"/>
      <c r="O6" s="16">
        <f>100-(23.2-23.2)/23.2*50</f>
        <v>100</v>
      </c>
      <c r="P6" s="16">
        <f>100-(115.92-103.87)/103.87*50</f>
        <v>94.199480119379999</v>
      </c>
      <c r="Q6" s="16"/>
      <c r="R6" s="16"/>
      <c r="S6" s="19"/>
      <c r="T6" s="19"/>
      <c r="U6" s="134">
        <f t="shared" si="0"/>
        <v>194.19948011937998</v>
      </c>
    </row>
    <row r="7" spans="1:23" x14ac:dyDescent="0.25">
      <c r="A7" s="133" t="s">
        <v>11</v>
      </c>
      <c r="B7" s="19" t="s">
        <v>117</v>
      </c>
      <c r="C7" s="19" t="s">
        <v>59</v>
      </c>
      <c r="D7" s="28"/>
      <c r="E7" s="16"/>
      <c r="F7" s="16"/>
      <c r="G7" s="16"/>
      <c r="H7" s="19"/>
      <c r="I7" s="19"/>
      <c r="J7" s="16">
        <f>100-(45.03-43.23)/43.23*50</f>
        <v>97.918112421929209</v>
      </c>
      <c r="K7" s="16">
        <f>100-(29.45-25.48)/25.48*50</f>
        <v>92.209576138147568</v>
      </c>
      <c r="L7" s="16"/>
      <c r="M7" s="19"/>
      <c r="N7" s="16"/>
      <c r="O7" s="16"/>
      <c r="P7" s="16"/>
      <c r="Q7" s="66"/>
      <c r="R7" s="16"/>
      <c r="S7" s="19"/>
      <c r="T7" s="16"/>
      <c r="U7" s="134">
        <f t="shared" si="0"/>
        <v>190.12768856007676</v>
      </c>
    </row>
    <row r="8" spans="1:23" x14ac:dyDescent="0.25">
      <c r="A8" s="133" t="s">
        <v>15</v>
      </c>
      <c r="B8" s="19" t="s">
        <v>168</v>
      </c>
      <c r="C8" s="19" t="s">
        <v>165</v>
      </c>
      <c r="D8" s="28"/>
      <c r="E8" s="16"/>
      <c r="F8" s="16"/>
      <c r="G8" s="16"/>
      <c r="H8" s="19"/>
      <c r="I8" s="19"/>
      <c r="J8" s="16"/>
      <c r="K8" s="19"/>
      <c r="L8" s="16"/>
      <c r="M8" s="19"/>
      <c r="N8" s="16"/>
      <c r="O8" s="16">
        <f>100-(42.93-23.2)/23.2*50</f>
        <v>57.478448275862064</v>
      </c>
      <c r="P8" s="16">
        <f>100-(118.97-103.87)/103.87*50</f>
        <v>92.731298738808135</v>
      </c>
      <c r="Q8" s="16"/>
      <c r="R8" s="16"/>
      <c r="S8" s="16"/>
      <c r="T8" s="16"/>
      <c r="U8" s="134">
        <f t="shared" si="0"/>
        <v>150.2097470146702</v>
      </c>
    </row>
    <row r="9" spans="1:23" x14ac:dyDescent="0.25">
      <c r="A9" s="133" t="s">
        <v>17</v>
      </c>
      <c r="B9" s="19" t="s">
        <v>167</v>
      </c>
      <c r="C9" s="19" t="s">
        <v>164</v>
      </c>
      <c r="D9" s="16"/>
      <c r="E9" s="16"/>
      <c r="F9" s="16"/>
      <c r="G9" s="16"/>
      <c r="H9" s="19"/>
      <c r="I9" s="19"/>
      <c r="J9" s="16"/>
      <c r="K9" s="16"/>
      <c r="L9" s="16"/>
      <c r="M9" s="19"/>
      <c r="N9" s="16"/>
      <c r="O9" s="16">
        <f>100-(32.73-23.2)/23.2*50</f>
        <v>79.46120689655173</v>
      </c>
      <c r="P9" s="16"/>
      <c r="Q9" s="16"/>
      <c r="R9" s="16"/>
      <c r="S9" s="19"/>
      <c r="T9" s="19"/>
      <c r="U9" s="134">
        <f t="shared" si="0"/>
        <v>79.46120689655173</v>
      </c>
    </row>
    <row r="10" spans="1:23" x14ac:dyDescent="0.25">
      <c r="A10" s="133" t="s">
        <v>18</v>
      </c>
      <c r="B10" s="19" t="s">
        <v>169</v>
      </c>
      <c r="C10" s="19" t="s">
        <v>165</v>
      </c>
      <c r="D10" s="28"/>
      <c r="E10" s="16"/>
      <c r="F10" s="16"/>
      <c r="G10" s="16"/>
      <c r="H10" s="19"/>
      <c r="I10" s="19"/>
      <c r="J10" s="16"/>
      <c r="K10" s="19"/>
      <c r="L10" s="16"/>
      <c r="M10" s="19"/>
      <c r="N10" s="16"/>
      <c r="O10" s="16">
        <f>100-(50.22-23.2)/23.2*50</f>
        <v>41.767241379310349</v>
      </c>
      <c r="P10" s="66" t="s">
        <v>12</v>
      </c>
      <c r="Q10" s="16"/>
      <c r="R10" s="16"/>
      <c r="S10" s="19"/>
      <c r="T10" s="19"/>
      <c r="U10" s="134">
        <f t="shared" si="0"/>
        <v>41.767241379310349</v>
      </c>
    </row>
    <row r="11" spans="1:23" x14ac:dyDescent="0.25">
      <c r="A11" s="133" t="s">
        <v>19</v>
      </c>
      <c r="B11" s="19" t="s">
        <v>170</v>
      </c>
      <c r="C11" s="19" t="s">
        <v>165</v>
      </c>
      <c r="D11" s="28"/>
      <c r="E11" s="16"/>
      <c r="F11" s="16"/>
      <c r="G11" s="16"/>
      <c r="H11" s="16"/>
      <c r="I11" s="16"/>
      <c r="J11" s="16"/>
      <c r="K11" s="16"/>
      <c r="L11" s="16"/>
      <c r="M11" s="19"/>
      <c r="N11" s="16"/>
      <c r="O11" s="16">
        <f>100-(60.18-23.2)/23.2*50</f>
        <v>20.301724137931018</v>
      </c>
      <c r="P11" s="66" t="s">
        <v>12</v>
      </c>
      <c r="Q11" s="16"/>
      <c r="R11" s="16"/>
      <c r="S11" s="16"/>
      <c r="T11" s="16"/>
      <c r="U11" s="134">
        <f t="shared" si="0"/>
        <v>20.301724137931018</v>
      </c>
    </row>
    <row r="12" spans="1:23" x14ac:dyDescent="0.25">
      <c r="A12" s="133" t="s">
        <v>20</v>
      </c>
      <c r="B12" s="19" t="s">
        <v>101</v>
      </c>
      <c r="C12" s="19" t="s">
        <v>29</v>
      </c>
      <c r="D12" s="16"/>
      <c r="E12" s="66" t="s">
        <v>12</v>
      </c>
      <c r="F12" s="16"/>
      <c r="G12" s="16"/>
      <c r="H12" s="16"/>
      <c r="I12" s="19"/>
      <c r="J12" s="16"/>
      <c r="K12" s="16"/>
      <c r="L12" s="16"/>
      <c r="M12" s="16"/>
      <c r="N12" s="66"/>
      <c r="O12" s="16"/>
      <c r="P12" s="16"/>
      <c r="Q12" s="16"/>
      <c r="R12" s="16"/>
      <c r="S12" s="16"/>
      <c r="T12" s="16"/>
      <c r="U12" s="134">
        <f t="shared" si="0"/>
        <v>0</v>
      </c>
    </row>
    <row r="13" spans="1:23" x14ac:dyDescent="0.25">
      <c r="A13" s="53"/>
      <c r="B13" s="2"/>
      <c r="C13" s="2"/>
      <c r="D13" s="38"/>
      <c r="E13" s="34"/>
      <c r="F13" s="34"/>
      <c r="G13" s="34"/>
      <c r="H13" s="2"/>
      <c r="I13" s="2"/>
      <c r="J13" s="34"/>
      <c r="K13" s="2"/>
      <c r="L13" s="34"/>
      <c r="M13" s="2"/>
      <c r="N13" s="34"/>
      <c r="O13" s="34"/>
      <c r="P13" s="34"/>
      <c r="Q13" s="34"/>
      <c r="R13" s="34"/>
      <c r="S13" s="34"/>
      <c r="T13" s="34"/>
      <c r="U13" s="37"/>
    </row>
    <row r="14" spans="1:23" x14ac:dyDescent="0.25">
      <c r="A14" s="53"/>
      <c r="B14" s="2"/>
      <c r="C14" s="2"/>
      <c r="D14" s="38"/>
      <c r="E14" s="34"/>
      <c r="F14" s="34"/>
      <c r="G14" s="34"/>
      <c r="H14" s="2"/>
      <c r="I14" s="2"/>
      <c r="J14" s="34"/>
      <c r="K14" s="2"/>
      <c r="L14" s="34"/>
      <c r="M14" s="2"/>
      <c r="N14" s="34"/>
      <c r="O14" s="34"/>
      <c r="P14" s="34"/>
      <c r="Q14" s="34"/>
      <c r="R14" s="34"/>
      <c r="S14" s="34"/>
      <c r="T14" s="34"/>
      <c r="U14" s="37"/>
    </row>
    <row r="15" spans="1:23" x14ac:dyDescent="0.25">
      <c r="A15" s="53"/>
      <c r="B15" s="2"/>
      <c r="C15" s="2"/>
      <c r="D15" s="34"/>
      <c r="E15" s="34"/>
      <c r="F15" s="34"/>
      <c r="G15" s="34"/>
      <c r="H15" s="2"/>
      <c r="I15" s="2"/>
      <c r="J15" s="34"/>
      <c r="K15" s="34"/>
      <c r="L15" s="34"/>
      <c r="M15" s="2"/>
      <c r="N15" s="34"/>
      <c r="O15" s="34"/>
      <c r="P15" s="34"/>
      <c r="Q15" s="34"/>
      <c r="R15" s="34"/>
      <c r="S15" s="2"/>
      <c r="T15" s="2"/>
      <c r="U15" s="37"/>
    </row>
    <row r="16" spans="1:23" x14ac:dyDescent="0.25">
      <c r="A16" s="53"/>
      <c r="B16" s="2"/>
      <c r="C16" s="2"/>
      <c r="D16" s="38"/>
      <c r="E16" s="34"/>
      <c r="F16" s="34"/>
      <c r="G16" s="34"/>
      <c r="H16" s="2"/>
      <c r="I16" s="2"/>
      <c r="J16" s="34"/>
      <c r="K16" s="2"/>
      <c r="L16" s="34"/>
      <c r="M16" s="2"/>
      <c r="N16" s="34"/>
      <c r="O16" s="34"/>
      <c r="P16" s="34"/>
      <c r="Q16" s="136"/>
      <c r="R16" s="136"/>
      <c r="S16" s="2"/>
      <c r="T16" s="2"/>
      <c r="U16" s="37"/>
    </row>
    <row r="17" spans="1:21" x14ac:dyDescent="0.25">
      <c r="A17" s="53"/>
      <c r="B17" s="2"/>
      <c r="C17" s="2"/>
      <c r="D17" s="38"/>
      <c r="E17" s="38"/>
      <c r="F17" s="38"/>
      <c r="G17" s="3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7"/>
    </row>
    <row r="18" spans="1:21" x14ac:dyDescent="0.25">
      <c r="A18" s="53"/>
      <c r="B18" s="2"/>
      <c r="C18" s="2"/>
      <c r="D18" s="38"/>
      <c r="E18" s="38"/>
      <c r="F18" s="38"/>
      <c r="G18" s="38"/>
      <c r="H18" s="3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7"/>
    </row>
    <row r="19" spans="1:21" x14ac:dyDescent="0.25">
      <c r="A19" s="2"/>
      <c r="B19" s="2"/>
      <c r="C19" s="2"/>
      <c r="D19" s="38"/>
      <c r="E19" s="38"/>
      <c r="F19" s="38"/>
      <c r="G19" s="3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4"/>
    </row>
    <row r="20" spans="1:21" s="39" customFormat="1" x14ac:dyDescent="0.25">
      <c r="A20" s="39" t="s">
        <v>26</v>
      </c>
    </row>
    <row r="21" spans="1:21" s="40" customFormat="1" x14ac:dyDescent="0.25">
      <c r="A21" s="40" t="s">
        <v>27</v>
      </c>
    </row>
  </sheetData>
  <sortState ref="B3:V12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zoomScaleNormal="100" workbookViewId="0">
      <selection activeCell="X10" sqref="X10"/>
    </sheetView>
  </sheetViews>
  <sheetFormatPr defaultColWidth="9" defaultRowHeight="15" x14ac:dyDescent="0.25"/>
  <cols>
    <col min="1" max="1" width="5.28515625" style="3" customWidth="1"/>
    <col min="2" max="2" width="20.5703125" style="3" customWidth="1"/>
    <col min="3" max="3" width="17.85546875" style="3" customWidth="1"/>
    <col min="4" max="5" width="9.140625" style="3" customWidth="1"/>
    <col min="6" max="7" width="9.140625" style="41" customWidth="1"/>
    <col min="8" max="21" width="9.140625" style="3" customWidth="1"/>
    <col min="22" max="30" width="9" style="2"/>
    <col min="31" max="257" width="9" style="3"/>
    <col min="258" max="258" width="5.28515625" style="3" customWidth="1"/>
    <col min="259" max="259" width="20.5703125" style="3" customWidth="1"/>
    <col min="260" max="260" width="16.140625" style="3" customWidth="1"/>
    <col min="261" max="277" width="9.140625" style="3" customWidth="1"/>
    <col min="278" max="513" width="9" style="3"/>
    <col min="514" max="514" width="5.28515625" style="3" customWidth="1"/>
    <col min="515" max="515" width="20.5703125" style="3" customWidth="1"/>
    <col min="516" max="516" width="16.140625" style="3" customWidth="1"/>
    <col min="517" max="533" width="9.140625" style="3" customWidth="1"/>
    <col min="534" max="769" width="9" style="3"/>
    <col min="770" max="770" width="5.28515625" style="3" customWidth="1"/>
    <col min="771" max="771" width="20.5703125" style="3" customWidth="1"/>
    <col min="772" max="772" width="16.140625" style="3" customWidth="1"/>
    <col min="773" max="789" width="9.140625" style="3" customWidth="1"/>
    <col min="790" max="1025" width="9" style="3"/>
    <col min="1026" max="1026" width="5.28515625" style="3" customWidth="1"/>
    <col min="1027" max="1027" width="20.5703125" style="3" customWidth="1"/>
    <col min="1028" max="1028" width="16.140625" style="3" customWidth="1"/>
    <col min="1029" max="1045" width="9.140625" style="3" customWidth="1"/>
    <col min="1046" max="1281" width="9" style="3"/>
    <col min="1282" max="1282" width="5.28515625" style="3" customWidth="1"/>
    <col min="1283" max="1283" width="20.5703125" style="3" customWidth="1"/>
    <col min="1284" max="1284" width="16.140625" style="3" customWidth="1"/>
    <col min="1285" max="1301" width="9.140625" style="3" customWidth="1"/>
    <col min="1302" max="1537" width="9" style="3"/>
    <col min="1538" max="1538" width="5.28515625" style="3" customWidth="1"/>
    <col min="1539" max="1539" width="20.5703125" style="3" customWidth="1"/>
    <col min="1540" max="1540" width="16.140625" style="3" customWidth="1"/>
    <col min="1541" max="1557" width="9.140625" style="3" customWidth="1"/>
    <col min="1558" max="1793" width="9" style="3"/>
    <col min="1794" max="1794" width="5.28515625" style="3" customWidth="1"/>
    <col min="1795" max="1795" width="20.5703125" style="3" customWidth="1"/>
    <col min="1796" max="1796" width="16.140625" style="3" customWidth="1"/>
    <col min="1797" max="1813" width="9.140625" style="3" customWidth="1"/>
    <col min="1814" max="2049" width="9" style="3"/>
    <col min="2050" max="2050" width="5.28515625" style="3" customWidth="1"/>
    <col min="2051" max="2051" width="20.5703125" style="3" customWidth="1"/>
    <col min="2052" max="2052" width="16.140625" style="3" customWidth="1"/>
    <col min="2053" max="2069" width="9.140625" style="3" customWidth="1"/>
    <col min="2070" max="2305" width="9" style="3"/>
    <col min="2306" max="2306" width="5.28515625" style="3" customWidth="1"/>
    <col min="2307" max="2307" width="20.5703125" style="3" customWidth="1"/>
    <col min="2308" max="2308" width="16.140625" style="3" customWidth="1"/>
    <col min="2309" max="2325" width="9.140625" style="3" customWidth="1"/>
    <col min="2326" max="2561" width="9" style="3"/>
    <col min="2562" max="2562" width="5.28515625" style="3" customWidth="1"/>
    <col min="2563" max="2563" width="20.5703125" style="3" customWidth="1"/>
    <col min="2564" max="2564" width="16.140625" style="3" customWidth="1"/>
    <col min="2565" max="2581" width="9.140625" style="3" customWidth="1"/>
    <col min="2582" max="2817" width="9" style="3"/>
    <col min="2818" max="2818" width="5.28515625" style="3" customWidth="1"/>
    <col min="2819" max="2819" width="20.5703125" style="3" customWidth="1"/>
    <col min="2820" max="2820" width="16.140625" style="3" customWidth="1"/>
    <col min="2821" max="2837" width="9.140625" style="3" customWidth="1"/>
    <col min="2838" max="3073" width="9" style="3"/>
    <col min="3074" max="3074" width="5.28515625" style="3" customWidth="1"/>
    <col min="3075" max="3075" width="20.5703125" style="3" customWidth="1"/>
    <col min="3076" max="3076" width="16.140625" style="3" customWidth="1"/>
    <col min="3077" max="3093" width="9.140625" style="3" customWidth="1"/>
    <col min="3094" max="3329" width="9" style="3"/>
    <col min="3330" max="3330" width="5.28515625" style="3" customWidth="1"/>
    <col min="3331" max="3331" width="20.5703125" style="3" customWidth="1"/>
    <col min="3332" max="3332" width="16.140625" style="3" customWidth="1"/>
    <col min="3333" max="3349" width="9.140625" style="3" customWidth="1"/>
    <col min="3350" max="3585" width="9" style="3"/>
    <col min="3586" max="3586" width="5.28515625" style="3" customWidth="1"/>
    <col min="3587" max="3587" width="20.5703125" style="3" customWidth="1"/>
    <col min="3588" max="3588" width="16.140625" style="3" customWidth="1"/>
    <col min="3589" max="3605" width="9.140625" style="3" customWidth="1"/>
    <col min="3606" max="3841" width="9" style="3"/>
    <col min="3842" max="3842" width="5.28515625" style="3" customWidth="1"/>
    <col min="3843" max="3843" width="20.5703125" style="3" customWidth="1"/>
    <col min="3844" max="3844" width="16.140625" style="3" customWidth="1"/>
    <col min="3845" max="3861" width="9.140625" style="3" customWidth="1"/>
    <col min="3862" max="4097" width="9" style="3"/>
    <col min="4098" max="4098" width="5.28515625" style="3" customWidth="1"/>
    <col min="4099" max="4099" width="20.5703125" style="3" customWidth="1"/>
    <col min="4100" max="4100" width="16.140625" style="3" customWidth="1"/>
    <col min="4101" max="4117" width="9.140625" style="3" customWidth="1"/>
    <col min="4118" max="4353" width="9" style="3"/>
    <col min="4354" max="4354" width="5.28515625" style="3" customWidth="1"/>
    <col min="4355" max="4355" width="20.5703125" style="3" customWidth="1"/>
    <col min="4356" max="4356" width="16.140625" style="3" customWidth="1"/>
    <col min="4357" max="4373" width="9.140625" style="3" customWidth="1"/>
    <col min="4374" max="4609" width="9" style="3"/>
    <col min="4610" max="4610" width="5.28515625" style="3" customWidth="1"/>
    <col min="4611" max="4611" width="20.5703125" style="3" customWidth="1"/>
    <col min="4612" max="4612" width="16.140625" style="3" customWidth="1"/>
    <col min="4613" max="4629" width="9.140625" style="3" customWidth="1"/>
    <col min="4630" max="4865" width="9" style="3"/>
    <col min="4866" max="4866" width="5.28515625" style="3" customWidth="1"/>
    <col min="4867" max="4867" width="20.5703125" style="3" customWidth="1"/>
    <col min="4868" max="4868" width="16.140625" style="3" customWidth="1"/>
    <col min="4869" max="4885" width="9.140625" style="3" customWidth="1"/>
    <col min="4886" max="5121" width="9" style="3"/>
    <col min="5122" max="5122" width="5.28515625" style="3" customWidth="1"/>
    <col min="5123" max="5123" width="20.5703125" style="3" customWidth="1"/>
    <col min="5124" max="5124" width="16.140625" style="3" customWidth="1"/>
    <col min="5125" max="5141" width="9.140625" style="3" customWidth="1"/>
    <col min="5142" max="5377" width="9" style="3"/>
    <col min="5378" max="5378" width="5.28515625" style="3" customWidth="1"/>
    <col min="5379" max="5379" width="20.5703125" style="3" customWidth="1"/>
    <col min="5380" max="5380" width="16.140625" style="3" customWidth="1"/>
    <col min="5381" max="5397" width="9.140625" style="3" customWidth="1"/>
    <col min="5398" max="5633" width="9" style="3"/>
    <col min="5634" max="5634" width="5.28515625" style="3" customWidth="1"/>
    <col min="5635" max="5635" width="20.5703125" style="3" customWidth="1"/>
    <col min="5636" max="5636" width="16.140625" style="3" customWidth="1"/>
    <col min="5637" max="5653" width="9.140625" style="3" customWidth="1"/>
    <col min="5654" max="5889" width="9" style="3"/>
    <col min="5890" max="5890" width="5.28515625" style="3" customWidth="1"/>
    <col min="5891" max="5891" width="20.5703125" style="3" customWidth="1"/>
    <col min="5892" max="5892" width="16.140625" style="3" customWidth="1"/>
    <col min="5893" max="5909" width="9.140625" style="3" customWidth="1"/>
    <col min="5910" max="6145" width="9" style="3"/>
    <col min="6146" max="6146" width="5.28515625" style="3" customWidth="1"/>
    <col min="6147" max="6147" width="20.5703125" style="3" customWidth="1"/>
    <col min="6148" max="6148" width="16.140625" style="3" customWidth="1"/>
    <col min="6149" max="6165" width="9.140625" style="3" customWidth="1"/>
    <col min="6166" max="6401" width="9" style="3"/>
    <col min="6402" max="6402" width="5.28515625" style="3" customWidth="1"/>
    <col min="6403" max="6403" width="20.5703125" style="3" customWidth="1"/>
    <col min="6404" max="6404" width="16.140625" style="3" customWidth="1"/>
    <col min="6405" max="6421" width="9.140625" style="3" customWidth="1"/>
    <col min="6422" max="6657" width="9" style="3"/>
    <col min="6658" max="6658" width="5.28515625" style="3" customWidth="1"/>
    <col min="6659" max="6659" width="20.5703125" style="3" customWidth="1"/>
    <col min="6660" max="6660" width="16.140625" style="3" customWidth="1"/>
    <col min="6661" max="6677" width="9.140625" style="3" customWidth="1"/>
    <col min="6678" max="6913" width="9" style="3"/>
    <col min="6914" max="6914" width="5.28515625" style="3" customWidth="1"/>
    <col min="6915" max="6915" width="20.5703125" style="3" customWidth="1"/>
    <col min="6916" max="6916" width="16.140625" style="3" customWidth="1"/>
    <col min="6917" max="6933" width="9.140625" style="3" customWidth="1"/>
    <col min="6934" max="7169" width="9" style="3"/>
    <col min="7170" max="7170" width="5.28515625" style="3" customWidth="1"/>
    <col min="7171" max="7171" width="20.5703125" style="3" customWidth="1"/>
    <col min="7172" max="7172" width="16.140625" style="3" customWidth="1"/>
    <col min="7173" max="7189" width="9.140625" style="3" customWidth="1"/>
    <col min="7190" max="7425" width="9" style="3"/>
    <col min="7426" max="7426" width="5.28515625" style="3" customWidth="1"/>
    <col min="7427" max="7427" width="20.5703125" style="3" customWidth="1"/>
    <col min="7428" max="7428" width="16.140625" style="3" customWidth="1"/>
    <col min="7429" max="7445" width="9.140625" style="3" customWidth="1"/>
    <col min="7446" max="7681" width="9" style="3"/>
    <col min="7682" max="7682" width="5.28515625" style="3" customWidth="1"/>
    <col min="7683" max="7683" width="20.5703125" style="3" customWidth="1"/>
    <col min="7684" max="7684" width="16.140625" style="3" customWidth="1"/>
    <col min="7685" max="7701" width="9.140625" style="3" customWidth="1"/>
    <col min="7702" max="7937" width="9" style="3"/>
    <col min="7938" max="7938" width="5.28515625" style="3" customWidth="1"/>
    <col min="7939" max="7939" width="20.5703125" style="3" customWidth="1"/>
    <col min="7940" max="7940" width="16.140625" style="3" customWidth="1"/>
    <col min="7941" max="7957" width="9.140625" style="3" customWidth="1"/>
    <col min="7958" max="8193" width="9" style="3"/>
    <col min="8194" max="8194" width="5.28515625" style="3" customWidth="1"/>
    <col min="8195" max="8195" width="20.5703125" style="3" customWidth="1"/>
    <col min="8196" max="8196" width="16.140625" style="3" customWidth="1"/>
    <col min="8197" max="8213" width="9.140625" style="3" customWidth="1"/>
    <col min="8214" max="8449" width="9" style="3"/>
    <col min="8450" max="8450" width="5.28515625" style="3" customWidth="1"/>
    <col min="8451" max="8451" width="20.5703125" style="3" customWidth="1"/>
    <col min="8452" max="8452" width="16.140625" style="3" customWidth="1"/>
    <col min="8453" max="8469" width="9.140625" style="3" customWidth="1"/>
    <col min="8470" max="8705" width="9" style="3"/>
    <col min="8706" max="8706" width="5.28515625" style="3" customWidth="1"/>
    <col min="8707" max="8707" width="20.5703125" style="3" customWidth="1"/>
    <col min="8708" max="8708" width="16.140625" style="3" customWidth="1"/>
    <col min="8709" max="8725" width="9.140625" style="3" customWidth="1"/>
    <col min="8726" max="8961" width="9" style="3"/>
    <col min="8962" max="8962" width="5.28515625" style="3" customWidth="1"/>
    <col min="8963" max="8963" width="20.5703125" style="3" customWidth="1"/>
    <col min="8964" max="8964" width="16.140625" style="3" customWidth="1"/>
    <col min="8965" max="8981" width="9.140625" style="3" customWidth="1"/>
    <col min="8982" max="9217" width="9" style="3"/>
    <col min="9218" max="9218" width="5.28515625" style="3" customWidth="1"/>
    <col min="9219" max="9219" width="20.5703125" style="3" customWidth="1"/>
    <col min="9220" max="9220" width="16.140625" style="3" customWidth="1"/>
    <col min="9221" max="9237" width="9.140625" style="3" customWidth="1"/>
    <col min="9238" max="9473" width="9" style="3"/>
    <col min="9474" max="9474" width="5.28515625" style="3" customWidth="1"/>
    <col min="9475" max="9475" width="20.5703125" style="3" customWidth="1"/>
    <col min="9476" max="9476" width="16.140625" style="3" customWidth="1"/>
    <col min="9477" max="9493" width="9.140625" style="3" customWidth="1"/>
    <col min="9494" max="9729" width="9" style="3"/>
    <col min="9730" max="9730" width="5.28515625" style="3" customWidth="1"/>
    <col min="9731" max="9731" width="20.5703125" style="3" customWidth="1"/>
    <col min="9732" max="9732" width="16.140625" style="3" customWidth="1"/>
    <col min="9733" max="9749" width="9.140625" style="3" customWidth="1"/>
    <col min="9750" max="9985" width="9" style="3"/>
    <col min="9986" max="9986" width="5.28515625" style="3" customWidth="1"/>
    <col min="9987" max="9987" width="20.5703125" style="3" customWidth="1"/>
    <col min="9988" max="9988" width="16.140625" style="3" customWidth="1"/>
    <col min="9989" max="10005" width="9.140625" style="3" customWidth="1"/>
    <col min="10006" max="10241" width="9" style="3"/>
    <col min="10242" max="10242" width="5.28515625" style="3" customWidth="1"/>
    <col min="10243" max="10243" width="20.5703125" style="3" customWidth="1"/>
    <col min="10244" max="10244" width="16.140625" style="3" customWidth="1"/>
    <col min="10245" max="10261" width="9.140625" style="3" customWidth="1"/>
    <col min="10262" max="10497" width="9" style="3"/>
    <col min="10498" max="10498" width="5.28515625" style="3" customWidth="1"/>
    <col min="10499" max="10499" width="20.5703125" style="3" customWidth="1"/>
    <col min="10500" max="10500" width="16.140625" style="3" customWidth="1"/>
    <col min="10501" max="10517" width="9.140625" style="3" customWidth="1"/>
    <col min="10518" max="10753" width="9" style="3"/>
    <col min="10754" max="10754" width="5.28515625" style="3" customWidth="1"/>
    <col min="10755" max="10755" width="20.5703125" style="3" customWidth="1"/>
    <col min="10756" max="10756" width="16.140625" style="3" customWidth="1"/>
    <col min="10757" max="10773" width="9.140625" style="3" customWidth="1"/>
    <col min="10774" max="11009" width="9" style="3"/>
    <col min="11010" max="11010" width="5.28515625" style="3" customWidth="1"/>
    <col min="11011" max="11011" width="20.5703125" style="3" customWidth="1"/>
    <col min="11012" max="11012" width="16.140625" style="3" customWidth="1"/>
    <col min="11013" max="11029" width="9.140625" style="3" customWidth="1"/>
    <col min="11030" max="11265" width="9" style="3"/>
    <col min="11266" max="11266" width="5.28515625" style="3" customWidth="1"/>
    <col min="11267" max="11267" width="20.5703125" style="3" customWidth="1"/>
    <col min="11268" max="11268" width="16.140625" style="3" customWidth="1"/>
    <col min="11269" max="11285" width="9.140625" style="3" customWidth="1"/>
    <col min="11286" max="11521" width="9" style="3"/>
    <col min="11522" max="11522" width="5.28515625" style="3" customWidth="1"/>
    <col min="11523" max="11523" width="20.5703125" style="3" customWidth="1"/>
    <col min="11524" max="11524" width="16.140625" style="3" customWidth="1"/>
    <col min="11525" max="11541" width="9.140625" style="3" customWidth="1"/>
    <col min="11542" max="11777" width="9" style="3"/>
    <col min="11778" max="11778" width="5.28515625" style="3" customWidth="1"/>
    <col min="11779" max="11779" width="20.5703125" style="3" customWidth="1"/>
    <col min="11780" max="11780" width="16.140625" style="3" customWidth="1"/>
    <col min="11781" max="11797" width="9.140625" style="3" customWidth="1"/>
    <col min="11798" max="12033" width="9" style="3"/>
    <col min="12034" max="12034" width="5.28515625" style="3" customWidth="1"/>
    <col min="12035" max="12035" width="20.5703125" style="3" customWidth="1"/>
    <col min="12036" max="12036" width="16.140625" style="3" customWidth="1"/>
    <col min="12037" max="12053" width="9.140625" style="3" customWidth="1"/>
    <col min="12054" max="12289" width="9" style="3"/>
    <col min="12290" max="12290" width="5.28515625" style="3" customWidth="1"/>
    <col min="12291" max="12291" width="20.5703125" style="3" customWidth="1"/>
    <col min="12292" max="12292" width="16.140625" style="3" customWidth="1"/>
    <col min="12293" max="12309" width="9.140625" style="3" customWidth="1"/>
    <col min="12310" max="12545" width="9" style="3"/>
    <col min="12546" max="12546" width="5.28515625" style="3" customWidth="1"/>
    <col min="12547" max="12547" width="20.5703125" style="3" customWidth="1"/>
    <col min="12548" max="12548" width="16.140625" style="3" customWidth="1"/>
    <col min="12549" max="12565" width="9.140625" style="3" customWidth="1"/>
    <col min="12566" max="12801" width="9" style="3"/>
    <col min="12802" max="12802" width="5.28515625" style="3" customWidth="1"/>
    <col min="12803" max="12803" width="20.5703125" style="3" customWidth="1"/>
    <col min="12804" max="12804" width="16.140625" style="3" customWidth="1"/>
    <col min="12805" max="12821" width="9.140625" style="3" customWidth="1"/>
    <col min="12822" max="13057" width="9" style="3"/>
    <col min="13058" max="13058" width="5.28515625" style="3" customWidth="1"/>
    <col min="13059" max="13059" width="20.5703125" style="3" customWidth="1"/>
    <col min="13060" max="13060" width="16.140625" style="3" customWidth="1"/>
    <col min="13061" max="13077" width="9.140625" style="3" customWidth="1"/>
    <col min="13078" max="13313" width="9" style="3"/>
    <col min="13314" max="13314" width="5.28515625" style="3" customWidth="1"/>
    <col min="13315" max="13315" width="20.5703125" style="3" customWidth="1"/>
    <col min="13316" max="13316" width="16.140625" style="3" customWidth="1"/>
    <col min="13317" max="13333" width="9.140625" style="3" customWidth="1"/>
    <col min="13334" max="13569" width="9" style="3"/>
    <col min="13570" max="13570" width="5.28515625" style="3" customWidth="1"/>
    <col min="13571" max="13571" width="20.5703125" style="3" customWidth="1"/>
    <col min="13572" max="13572" width="16.140625" style="3" customWidth="1"/>
    <col min="13573" max="13589" width="9.140625" style="3" customWidth="1"/>
    <col min="13590" max="13825" width="9" style="3"/>
    <col min="13826" max="13826" width="5.28515625" style="3" customWidth="1"/>
    <col min="13827" max="13827" width="20.5703125" style="3" customWidth="1"/>
    <col min="13828" max="13828" width="16.140625" style="3" customWidth="1"/>
    <col min="13829" max="13845" width="9.140625" style="3" customWidth="1"/>
    <col min="13846" max="14081" width="9" style="3"/>
    <col min="14082" max="14082" width="5.28515625" style="3" customWidth="1"/>
    <col min="14083" max="14083" width="20.5703125" style="3" customWidth="1"/>
    <col min="14084" max="14084" width="16.140625" style="3" customWidth="1"/>
    <col min="14085" max="14101" width="9.140625" style="3" customWidth="1"/>
    <col min="14102" max="14337" width="9" style="3"/>
    <col min="14338" max="14338" width="5.28515625" style="3" customWidth="1"/>
    <col min="14339" max="14339" width="20.5703125" style="3" customWidth="1"/>
    <col min="14340" max="14340" width="16.140625" style="3" customWidth="1"/>
    <col min="14341" max="14357" width="9.140625" style="3" customWidth="1"/>
    <col min="14358" max="14593" width="9" style="3"/>
    <col min="14594" max="14594" width="5.28515625" style="3" customWidth="1"/>
    <col min="14595" max="14595" width="20.5703125" style="3" customWidth="1"/>
    <col min="14596" max="14596" width="16.140625" style="3" customWidth="1"/>
    <col min="14597" max="14613" width="9.140625" style="3" customWidth="1"/>
    <col min="14614" max="14849" width="9" style="3"/>
    <col min="14850" max="14850" width="5.28515625" style="3" customWidth="1"/>
    <col min="14851" max="14851" width="20.5703125" style="3" customWidth="1"/>
    <col min="14852" max="14852" width="16.140625" style="3" customWidth="1"/>
    <col min="14853" max="14869" width="9.140625" style="3" customWidth="1"/>
    <col min="14870" max="15105" width="9" style="3"/>
    <col min="15106" max="15106" width="5.28515625" style="3" customWidth="1"/>
    <col min="15107" max="15107" width="20.5703125" style="3" customWidth="1"/>
    <col min="15108" max="15108" width="16.140625" style="3" customWidth="1"/>
    <col min="15109" max="15125" width="9.140625" style="3" customWidth="1"/>
    <col min="15126" max="15361" width="9" style="3"/>
    <col min="15362" max="15362" width="5.28515625" style="3" customWidth="1"/>
    <col min="15363" max="15363" width="20.5703125" style="3" customWidth="1"/>
    <col min="15364" max="15364" width="16.140625" style="3" customWidth="1"/>
    <col min="15365" max="15381" width="9.140625" style="3" customWidth="1"/>
    <col min="15382" max="15617" width="9" style="3"/>
    <col min="15618" max="15618" width="5.28515625" style="3" customWidth="1"/>
    <col min="15619" max="15619" width="20.5703125" style="3" customWidth="1"/>
    <col min="15620" max="15620" width="16.140625" style="3" customWidth="1"/>
    <col min="15621" max="15637" width="9.140625" style="3" customWidth="1"/>
    <col min="15638" max="15873" width="9" style="3"/>
    <col min="15874" max="15874" width="5.28515625" style="3" customWidth="1"/>
    <col min="15875" max="15875" width="20.5703125" style="3" customWidth="1"/>
    <col min="15876" max="15876" width="16.140625" style="3" customWidth="1"/>
    <col min="15877" max="15893" width="9.140625" style="3" customWidth="1"/>
    <col min="15894" max="16129" width="9" style="3"/>
    <col min="16130" max="16130" width="5.28515625" style="3" customWidth="1"/>
    <col min="16131" max="16131" width="20.5703125" style="3" customWidth="1"/>
    <col min="16132" max="16132" width="16.140625" style="3" customWidth="1"/>
    <col min="16133" max="16149" width="9.140625" style="3" customWidth="1"/>
    <col min="16150" max="16384" width="9" style="3"/>
  </cols>
  <sheetData>
    <row r="1" spans="1:23" ht="34.5" thickBot="1" x14ac:dyDescent="0.3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  <c r="V1" s="1"/>
      <c r="W1" s="1"/>
    </row>
    <row r="2" spans="1:23" ht="175.5" customHeight="1" thickBot="1" x14ac:dyDescent="0.3">
      <c r="A2" s="4" t="s">
        <v>0</v>
      </c>
      <c r="B2" s="5" t="s">
        <v>1</v>
      </c>
      <c r="C2" s="6" t="s">
        <v>2</v>
      </c>
      <c r="D2" s="90" t="s">
        <v>83</v>
      </c>
      <c r="E2" s="7" t="s">
        <v>84</v>
      </c>
      <c r="F2" s="90" t="s">
        <v>102</v>
      </c>
      <c r="G2" s="90" t="s">
        <v>103</v>
      </c>
      <c r="H2" s="7" t="s">
        <v>109</v>
      </c>
      <c r="I2" s="7" t="s">
        <v>110</v>
      </c>
      <c r="J2" s="7" t="s">
        <v>111</v>
      </c>
      <c r="K2" s="7" t="s">
        <v>138</v>
      </c>
      <c r="L2" s="7" t="s">
        <v>139</v>
      </c>
      <c r="M2" s="7" t="s">
        <v>152</v>
      </c>
      <c r="N2" s="7" t="s">
        <v>153</v>
      </c>
      <c r="O2" s="7" t="s">
        <v>160</v>
      </c>
      <c r="P2" s="7" t="s">
        <v>161</v>
      </c>
      <c r="Q2" s="7" t="s">
        <v>183</v>
      </c>
      <c r="R2" s="7" t="s">
        <v>184</v>
      </c>
      <c r="S2" s="7" t="s">
        <v>185</v>
      </c>
      <c r="T2" s="7" t="s">
        <v>186</v>
      </c>
      <c r="U2" s="9" t="s">
        <v>3</v>
      </c>
      <c r="V2" s="10"/>
      <c r="W2" s="10"/>
    </row>
    <row r="3" spans="1:23" x14ac:dyDescent="0.25">
      <c r="A3" s="54" t="s">
        <v>4</v>
      </c>
      <c r="B3" s="13" t="s">
        <v>133</v>
      </c>
      <c r="C3" s="14" t="s">
        <v>59</v>
      </c>
      <c r="D3" s="58"/>
      <c r="E3" s="15"/>
      <c r="F3" s="15"/>
      <c r="G3" s="15"/>
      <c r="H3" s="15"/>
      <c r="I3" s="15"/>
      <c r="J3" s="22">
        <f>100-(82.27-82.27)/82.27*50</f>
        <v>100</v>
      </c>
      <c r="K3" s="15"/>
      <c r="L3" s="15"/>
      <c r="M3" s="15"/>
      <c r="N3" s="15"/>
      <c r="O3" s="15"/>
      <c r="P3" s="15"/>
      <c r="Q3" s="15"/>
      <c r="R3" s="15"/>
      <c r="S3" s="77"/>
      <c r="T3" s="96"/>
      <c r="U3" s="49">
        <f>SUM(D3:T3)</f>
        <v>100</v>
      </c>
    </row>
    <row r="4" spans="1:23" x14ac:dyDescent="0.25">
      <c r="A4" s="75" t="s">
        <v>6</v>
      </c>
      <c r="B4" s="20" t="s">
        <v>172</v>
      </c>
      <c r="C4" s="21" t="s">
        <v>165</v>
      </c>
      <c r="D4" s="98"/>
      <c r="E4" s="22"/>
      <c r="F4" s="64"/>
      <c r="G4" s="64"/>
      <c r="H4" s="99"/>
      <c r="I4" s="22"/>
      <c r="J4" s="22"/>
      <c r="K4" s="64"/>
      <c r="L4" s="22"/>
      <c r="M4" s="22"/>
      <c r="N4" s="22"/>
      <c r="O4" s="22">
        <f>100-(33.72-33.72)/33.72*50</f>
        <v>100</v>
      </c>
      <c r="P4" s="22"/>
      <c r="Q4" s="22"/>
      <c r="R4" s="22"/>
      <c r="S4" s="89"/>
      <c r="T4" s="104"/>
      <c r="U4" s="49">
        <f>SUM(D4:T4)</f>
        <v>100</v>
      </c>
    </row>
    <row r="5" spans="1:23" x14ac:dyDescent="0.25">
      <c r="A5" s="2"/>
      <c r="B5" s="2"/>
      <c r="C5" s="2"/>
      <c r="D5" s="2"/>
      <c r="E5" s="2"/>
      <c r="F5" s="38"/>
      <c r="G5" s="3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4"/>
      <c r="T5" s="34"/>
      <c r="U5" s="2"/>
    </row>
    <row r="6" spans="1:23" s="39" customFormat="1" x14ac:dyDescent="0.25">
      <c r="A6" s="39" t="s">
        <v>26</v>
      </c>
    </row>
    <row r="7" spans="1:23" s="40" customFormat="1" x14ac:dyDescent="0.25">
      <c r="A7" s="40" t="s">
        <v>27</v>
      </c>
    </row>
  </sheetData>
  <sortState ref="B3:V7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zoomScaleNormal="100" workbookViewId="0">
      <selection activeCell="A2" sqref="A2:V16"/>
    </sheetView>
  </sheetViews>
  <sheetFormatPr defaultColWidth="9" defaultRowHeight="15" x14ac:dyDescent="0.25"/>
  <cols>
    <col min="1" max="1" width="5" style="3" customWidth="1"/>
    <col min="2" max="2" width="23.140625" style="3" customWidth="1"/>
    <col min="3" max="3" width="17.85546875" style="3" customWidth="1"/>
    <col min="4" max="5" width="9.140625" style="3" customWidth="1"/>
    <col min="6" max="7" width="9.140625" style="41" customWidth="1"/>
    <col min="8" max="22" width="9.140625" style="3" customWidth="1"/>
    <col min="23" max="31" width="9" style="2"/>
    <col min="32" max="258" width="9" style="3"/>
    <col min="259" max="259" width="5" style="3" customWidth="1"/>
    <col min="260" max="260" width="17.5703125" style="3" customWidth="1"/>
    <col min="261" max="261" width="17.85546875" style="3" customWidth="1"/>
    <col min="262" max="278" width="9.140625" style="3" customWidth="1"/>
    <col min="279" max="514" width="9" style="3"/>
    <col min="515" max="515" width="5" style="3" customWidth="1"/>
    <col min="516" max="516" width="17.5703125" style="3" customWidth="1"/>
    <col min="517" max="517" width="17.85546875" style="3" customWidth="1"/>
    <col min="518" max="534" width="9.140625" style="3" customWidth="1"/>
    <col min="535" max="770" width="9" style="3"/>
    <col min="771" max="771" width="5" style="3" customWidth="1"/>
    <col min="772" max="772" width="17.5703125" style="3" customWidth="1"/>
    <col min="773" max="773" width="17.85546875" style="3" customWidth="1"/>
    <col min="774" max="790" width="9.140625" style="3" customWidth="1"/>
    <col min="791" max="1026" width="9" style="3"/>
    <col min="1027" max="1027" width="5" style="3" customWidth="1"/>
    <col min="1028" max="1028" width="17.5703125" style="3" customWidth="1"/>
    <col min="1029" max="1029" width="17.85546875" style="3" customWidth="1"/>
    <col min="1030" max="1046" width="9.140625" style="3" customWidth="1"/>
    <col min="1047" max="1282" width="9" style="3"/>
    <col min="1283" max="1283" width="5" style="3" customWidth="1"/>
    <col min="1284" max="1284" width="17.5703125" style="3" customWidth="1"/>
    <col min="1285" max="1285" width="17.85546875" style="3" customWidth="1"/>
    <col min="1286" max="1302" width="9.140625" style="3" customWidth="1"/>
    <col min="1303" max="1538" width="9" style="3"/>
    <col min="1539" max="1539" width="5" style="3" customWidth="1"/>
    <col min="1540" max="1540" width="17.5703125" style="3" customWidth="1"/>
    <col min="1541" max="1541" width="17.85546875" style="3" customWidth="1"/>
    <col min="1542" max="1558" width="9.140625" style="3" customWidth="1"/>
    <col min="1559" max="1794" width="9" style="3"/>
    <col min="1795" max="1795" width="5" style="3" customWidth="1"/>
    <col min="1796" max="1796" width="17.5703125" style="3" customWidth="1"/>
    <col min="1797" max="1797" width="17.85546875" style="3" customWidth="1"/>
    <col min="1798" max="1814" width="9.140625" style="3" customWidth="1"/>
    <col min="1815" max="2050" width="9" style="3"/>
    <col min="2051" max="2051" width="5" style="3" customWidth="1"/>
    <col min="2052" max="2052" width="17.5703125" style="3" customWidth="1"/>
    <col min="2053" max="2053" width="17.85546875" style="3" customWidth="1"/>
    <col min="2054" max="2070" width="9.140625" style="3" customWidth="1"/>
    <col min="2071" max="2306" width="9" style="3"/>
    <col min="2307" max="2307" width="5" style="3" customWidth="1"/>
    <col min="2308" max="2308" width="17.5703125" style="3" customWidth="1"/>
    <col min="2309" max="2309" width="17.85546875" style="3" customWidth="1"/>
    <col min="2310" max="2326" width="9.140625" style="3" customWidth="1"/>
    <col min="2327" max="2562" width="9" style="3"/>
    <col min="2563" max="2563" width="5" style="3" customWidth="1"/>
    <col min="2564" max="2564" width="17.5703125" style="3" customWidth="1"/>
    <col min="2565" max="2565" width="17.85546875" style="3" customWidth="1"/>
    <col min="2566" max="2582" width="9.140625" style="3" customWidth="1"/>
    <col min="2583" max="2818" width="9" style="3"/>
    <col min="2819" max="2819" width="5" style="3" customWidth="1"/>
    <col min="2820" max="2820" width="17.5703125" style="3" customWidth="1"/>
    <col min="2821" max="2821" width="17.85546875" style="3" customWidth="1"/>
    <col min="2822" max="2838" width="9.140625" style="3" customWidth="1"/>
    <col min="2839" max="3074" width="9" style="3"/>
    <col min="3075" max="3075" width="5" style="3" customWidth="1"/>
    <col min="3076" max="3076" width="17.5703125" style="3" customWidth="1"/>
    <col min="3077" max="3077" width="17.85546875" style="3" customWidth="1"/>
    <col min="3078" max="3094" width="9.140625" style="3" customWidth="1"/>
    <col min="3095" max="3330" width="9" style="3"/>
    <col min="3331" max="3331" width="5" style="3" customWidth="1"/>
    <col min="3332" max="3332" width="17.5703125" style="3" customWidth="1"/>
    <col min="3333" max="3333" width="17.85546875" style="3" customWidth="1"/>
    <col min="3334" max="3350" width="9.140625" style="3" customWidth="1"/>
    <col min="3351" max="3586" width="9" style="3"/>
    <col min="3587" max="3587" width="5" style="3" customWidth="1"/>
    <col min="3588" max="3588" width="17.5703125" style="3" customWidth="1"/>
    <col min="3589" max="3589" width="17.85546875" style="3" customWidth="1"/>
    <col min="3590" max="3606" width="9.140625" style="3" customWidth="1"/>
    <col min="3607" max="3842" width="9" style="3"/>
    <col min="3843" max="3843" width="5" style="3" customWidth="1"/>
    <col min="3844" max="3844" width="17.5703125" style="3" customWidth="1"/>
    <col min="3845" max="3845" width="17.85546875" style="3" customWidth="1"/>
    <col min="3846" max="3862" width="9.140625" style="3" customWidth="1"/>
    <col min="3863" max="4098" width="9" style="3"/>
    <col min="4099" max="4099" width="5" style="3" customWidth="1"/>
    <col min="4100" max="4100" width="17.5703125" style="3" customWidth="1"/>
    <col min="4101" max="4101" width="17.85546875" style="3" customWidth="1"/>
    <col min="4102" max="4118" width="9.140625" style="3" customWidth="1"/>
    <col min="4119" max="4354" width="9" style="3"/>
    <col min="4355" max="4355" width="5" style="3" customWidth="1"/>
    <col min="4356" max="4356" width="17.5703125" style="3" customWidth="1"/>
    <col min="4357" max="4357" width="17.85546875" style="3" customWidth="1"/>
    <col min="4358" max="4374" width="9.140625" style="3" customWidth="1"/>
    <col min="4375" max="4610" width="9" style="3"/>
    <col min="4611" max="4611" width="5" style="3" customWidth="1"/>
    <col min="4612" max="4612" width="17.5703125" style="3" customWidth="1"/>
    <col min="4613" max="4613" width="17.85546875" style="3" customWidth="1"/>
    <col min="4614" max="4630" width="9.140625" style="3" customWidth="1"/>
    <col min="4631" max="4866" width="9" style="3"/>
    <col min="4867" max="4867" width="5" style="3" customWidth="1"/>
    <col min="4868" max="4868" width="17.5703125" style="3" customWidth="1"/>
    <col min="4869" max="4869" width="17.85546875" style="3" customWidth="1"/>
    <col min="4870" max="4886" width="9.140625" style="3" customWidth="1"/>
    <col min="4887" max="5122" width="9" style="3"/>
    <col min="5123" max="5123" width="5" style="3" customWidth="1"/>
    <col min="5124" max="5124" width="17.5703125" style="3" customWidth="1"/>
    <col min="5125" max="5125" width="17.85546875" style="3" customWidth="1"/>
    <col min="5126" max="5142" width="9.140625" style="3" customWidth="1"/>
    <col min="5143" max="5378" width="9" style="3"/>
    <col min="5379" max="5379" width="5" style="3" customWidth="1"/>
    <col min="5380" max="5380" width="17.5703125" style="3" customWidth="1"/>
    <col min="5381" max="5381" width="17.85546875" style="3" customWidth="1"/>
    <col min="5382" max="5398" width="9.140625" style="3" customWidth="1"/>
    <col min="5399" max="5634" width="9" style="3"/>
    <col min="5635" max="5635" width="5" style="3" customWidth="1"/>
    <col min="5636" max="5636" width="17.5703125" style="3" customWidth="1"/>
    <col min="5637" max="5637" width="17.85546875" style="3" customWidth="1"/>
    <col min="5638" max="5654" width="9.140625" style="3" customWidth="1"/>
    <col min="5655" max="5890" width="9" style="3"/>
    <col min="5891" max="5891" width="5" style="3" customWidth="1"/>
    <col min="5892" max="5892" width="17.5703125" style="3" customWidth="1"/>
    <col min="5893" max="5893" width="17.85546875" style="3" customWidth="1"/>
    <col min="5894" max="5910" width="9.140625" style="3" customWidth="1"/>
    <col min="5911" max="6146" width="9" style="3"/>
    <col min="6147" max="6147" width="5" style="3" customWidth="1"/>
    <col min="6148" max="6148" width="17.5703125" style="3" customWidth="1"/>
    <col min="6149" max="6149" width="17.85546875" style="3" customWidth="1"/>
    <col min="6150" max="6166" width="9.140625" style="3" customWidth="1"/>
    <col min="6167" max="6402" width="9" style="3"/>
    <col min="6403" max="6403" width="5" style="3" customWidth="1"/>
    <col min="6404" max="6404" width="17.5703125" style="3" customWidth="1"/>
    <col min="6405" max="6405" width="17.85546875" style="3" customWidth="1"/>
    <col min="6406" max="6422" width="9.140625" style="3" customWidth="1"/>
    <col min="6423" max="6658" width="9" style="3"/>
    <col min="6659" max="6659" width="5" style="3" customWidth="1"/>
    <col min="6660" max="6660" width="17.5703125" style="3" customWidth="1"/>
    <col min="6661" max="6661" width="17.85546875" style="3" customWidth="1"/>
    <col min="6662" max="6678" width="9.140625" style="3" customWidth="1"/>
    <col min="6679" max="6914" width="9" style="3"/>
    <col min="6915" max="6915" width="5" style="3" customWidth="1"/>
    <col min="6916" max="6916" width="17.5703125" style="3" customWidth="1"/>
    <col min="6917" max="6917" width="17.85546875" style="3" customWidth="1"/>
    <col min="6918" max="6934" width="9.140625" style="3" customWidth="1"/>
    <col min="6935" max="7170" width="9" style="3"/>
    <col min="7171" max="7171" width="5" style="3" customWidth="1"/>
    <col min="7172" max="7172" width="17.5703125" style="3" customWidth="1"/>
    <col min="7173" max="7173" width="17.85546875" style="3" customWidth="1"/>
    <col min="7174" max="7190" width="9.140625" style="3" customWidth="1"/>
    <col min="7191" max="7426" width="9" style="3"/>
    <col min="7427" max="7427" width="5" style="3" customWidth="1"/>
    <col min="7428" max="7428" width="17.5703125" style="3" customWidth="1"/>
    <col min="7429" max="7429" width="17.85546875" style="3" customWidth="1"/>
    <col min="7430" max="7446" width="9.140625" style="3" customWidth="1"/>
    <col min="7447" max="7682" width="9" style="3"/>
    <col min="7683" max="7683" width="5" style="3" customWidth="1"/>
    <col min="7684" max="7684" width="17.5703125" style="3" customWidth="1"/>
    <col min="7685" max="7685" width="17.85546875" style="3" customWidth="1"/>
    <col min="7686" max="7702" width="9.140625" style="3" customWidth="1"/>
    <col min="7703" max="7938" width="9" style="3"/>
    <col min="7939" max="7939" width="5" style="3" customWidth="1"/>
    <col min="7940" max="7940" width="17.5703125" style="3" customWidth="1"/>
    <col min="7941" max="7941" width="17.85546875" style="3" customWidth="1"/>
    <col min="7942" max="7958" width="9.140625" style="3" customWidth="1"/>
    <col min="7959" max="8194" width="9" style="3"/>
    <col min="8195" max="8195" width="5" style="3" customWidth="1"/>
    <col min="8196" max="8196" width="17.5703125" style="3" customWidth="1"/>
    <col min="8197" max="8197" width="17.85546875" style="3" customWidth="1"/>
    <col min="8198" max="8214" width="9.140625" style="3" customWidth="1"/>
    <col min="8215" max="8450" width="9" style="3"/>
    <col min="8451" max="8451" width="5" style="3" customWidth="1"/>
    <col min="8452" max="8452" width="17.5703125" style="3" customWidth="1"/>
    <col min="8453" max="8453" width="17.85546875" style="3" customWidth="1"/>
    <col min="8454" max="8470" width="9.140625" style="3" customWidth="1"/>
    <col min="8471" max="8706" width="9" style="3"/>
    <col min="8707" max="8707" width="5" style="3" customWidth="1"/>
    <col min="8708" max="8708" width="17.5703125" style="3" customWidth="1"/>
    <col min="8709" max="8709" width="17.85546875" style="3" customWidth="1"/>
    <col min="8710" max="8726" width="9.140625" style="3" customWidth="1"/>
    <col min="8727" max="8962" width="9" style="3"/>
    <col min="8963" max="8963" width="5" style="3" customWidth="1"/>
    <col min="8964" max="8964" width="17.5703125" style="3" customWidth="1"/>
    <col min="8965" max="8965" width="17.85546875" style="3" customWidth="1"/>
    <col min="8966" max="8982" width="9.140625" style="3" customWidth="1"/>
    <col min="8983" max="9218" width="9" style="3"/>
    <col min="9219" max="9219" width="5" style="3" customWidth="1"/>
    <col min="9220" max="9220" width="17.5703125" style="3" customWidth="1"/>
    <col min="9221" max="9221" width="17.85546875" style="3" customWidth="1"/>
    <col min="9222" max="9238" width="9.140625" style="3" customWidth="1"/>
    <col min="9239" max="9474" width="9" style="3"/>
    <col min="9475" max="9475" width="5" style="3" customWidth="1"/>
    <col min="9476" max="9476" width="17.5703125" style="3" customWidth="1"/>
    <col min="9477" max="9477" width="17.85546875" style="3" customWidth="1"/>
    <col min="9478" max="9494" width="9.140625" style="3" customWidth="1"/>
    <col min="9495" max="9730" width="9" style="3"/>
    <col min="9731" max="9731" width="5" style="3" customWidth="1"/>
    <col min="9732" max="9732" width="17.5703125" style="3" customWidth="1"/>
    <col min="9733" max="9733" width="17.85546875" style="3" customWidth="1"/>
    <col min="9734" max="9750" width="9.140625" style="3" customWidth="1"/>
    <col min="9751" max="9986" width="9" style="3"/>
    <col min="9987" max="9987" width="5" style="3" customWidth="1"/>
    <col min="9988" max="9988" width="17.5703125" style="3" customWidth="1"/>
    <col min="9989" max="9989" width="17.85546875" style="3" customWidth="1"/>
    <col min="9990" max="10006" width="9.140625" style="3" customWidth="1"/>
    <col min="10007" max="10242" width="9" style="3"/>
    <col min="10243" max="10243" width="5" style="3" customWidth="1"/>
    <col min="10244" max="10244" width="17.5703125" style="3" customWidth="1"/>
    <col min="10245" max="10245" width="17.85546875" style="3" customWidth="1"/>
    <col min="10246" max="10262" width="9.140625" style="3" customWidth="1"/>
    <col min="10263" max="10498" width="9" style="3"/>
    <col min="10499" max="10499" width="5" style="3" customWidth="1"/>
    <col min="10500" max="10500" width="17.5703125" style="3" customWidth="1"/>
    <col min="10501" max="10501" width="17.85546875" style="3" customWidth="1"/>
    <col min="10502" max="10518" width="9.140625" style="3" customWidth="1"/>
    <col min="10519" max="10754" width="9" style="3"/>
    <col min="10755" max="10755" width="5" style="3" customWidth="1"/>
    <col min="10756" max="10756" width="17.5703125" style="3" customWidth="1"/>
    <col min="10757" max="10757" width="17.85546875" style="3" customWidth="1"/>
    <col min="10758" max="10774" width="9.140625" style="3" customWidth="1"/>
    <col min="10775" max="11010" width="9" style="3"/>
    <col min="11011" max="11011" width="5" style="3" customWidth="1"/>
    <col min="11012" max="11012" width="17.5703125" style="3" customWidth="1"/>
    <col min="11013" max="11013" width="17.85546875" style="3" customWidth="1"/>
    <col min="11014" max="11030" width="9.140625" style="3" customWidth="1"/>
    <col min="11031" max="11266" width="9" style="3"/>
    <col min="11267" max="11267" width="5" style="3" customWidth="1"/>
    <col min="11268" max="11268" width="17.5703125" style="3" customWidth="1"/>
    <col min="11269" max="11269" width="17.85546875" style="3" customWidth="1"/>
    <col min="11270" max="11286" width="9.140625" style="3" customWidth="1"/>
    <col min="11287" max="11522" width="9" style="3"/>
    <col min="11523" max="11523" width="5" style="3" customWidth="1"/>
    <col min="11524" max="11524" width="17.5703125" style="3" customWidth="1"/>
    <col min="11525" max="11525" width="17.85546875" style="3" customWidth="1"/>
    <col min="11526" max="11542" width="9.140625" style="3" customWidth="1"/>
    <col min="11543" max="11778" width="9" style="3"/>
    <col min="11779" max="11779" width="5" style="3" customWidth="1"/>
    <col min="11780" max="11780" width="17.5703125" style="3" customWidth="1"/>
    <col min="11781" max="11781" width="17.85546875" style="3" customWidth="1"/>
    <col min="11782" max="11798" width="9.140625" style="3" customWidth="1"/>
    <col min="11799" max="12034" width="9" style="3"/>
    <col min="12035" max="12035" width="5" style="3" customWidth="1"/>
    <col min="12036" max="12036" width="17.5703125" style="3" customWidth="1"/>
    <col min="12037" max="12037" width="17.85546875" style="3" customWidth="1"/>
    <col min="12038" max="12054" width="9.140625" style="3" customWidth="1"/>
    <col min="12055" max="12290" width="9" style="3"/>
    <col min="12291" max="12291" width="5" style="3" customWidth="1"/>
    <col min="12292" max="12292" width="17.5703125" style="3" customWidth="1"/>
    <col min="12293" max="12293" width="17.85546875" style="3" customWidth="1"/>
    <col min="12294" max="12310" width="9.140625" style="3" customWidth="1"/>
    <col min="12311" max="12546" width="9" style="3"/>
    <col min="12547" max="12547" width="5" style="3" customWidth="1"/>
    <col min="12548" max="12548" width="17.5703125" style="3" customWidth="1"/>
    <col min="12549" max="12549" width="17.85546875" style="3" customWidth="1"/>
    <col min="12550" max="12566" width="9.140625" style="3" customWidth="1"/>
    <col min="12567" max="12802" width="9" style="3"/>
    <col min="12803" max="12803" width="5" style="3" customWidth="1"/>
    <col min="12804" max="12804" width="17.5703125" style="3" customWidth="1"/>
    <col min="12805" max="12805" width="17.85546875" style="3" customWidth="1"/>
    <col min="12806" max="12822" width="9.140625" style="3" customWidth="1"/>
    <col min="12823" max="13058" width="9" style="3"/>
    <col min="13059" max="13059" width="5" style="3" customWidth="1"/>
    <col min="13060" max="13060" width="17.5703125" style="3" customWidth="1"/>
    <col min="13061" max="13061" width="17.85546875" style="3" customWidth="1"/>
    <col min="13062" max="13078" width="9.140625" style="3" customWidth="1"/>
    <col min="13079" max="13314" width="9" style="3"/>
    <col min="13315" max="13315" width="5" style="3" customWidth="1"/>
    <col min="13316" max="13316" width="17.5703125" style="3" customWidth="1"/>
    <col min="13317" max="13317" width="17.85546875" style="3" customWidth="1"/>
    <col min="13318" max="13334" width="9.140625" style="3" customWidth="1"/>
    <col min="13335" max="13570" width="9" style="3"/>
    <col min="13571" max="13571" width="5" style="3" customWidth="1"/>
    <col min="13572" max="13572" width="17.5703125" style="3" customWidth="1"/>
    <col min="13573" max="13573" width="17.85546875" style="3" customWidth="1"/>
    <col min="13574" max="13590" width="9.140625" style="3" customWidth="1"/>
    <col min="13591" max="13826" width="9" style="3"/>
    <col min="13827" max="13827" width="5" style="3" customWidth="1"/>
    <col min="13828" max="13828" width="17.5703125" style="3" customWidth="1"/>
    <col min="13829" max="13829" width="17.85546875" style="3" customWidth="1"/>
    <col min="13830" max="13846" width="9.140625" style="3" customWidth="1"/>
    <col min="13847" max="14082" width="9" style="3"/>
    <col min="14083" max="14083" width="5" style="3" customWidth="1"/>
    <col min="14084" max="14084" width="17.5703125" style="3" customWidth="1"/>
    <col min="14085" max="14085" width="17.85546875" style="3" customWidth="1"/>
    <col min="14086" max="14102" width="9.140625" style="3" customWidth="1"/>
    <col min="14103" max="14338" width="9" style="3"/>
    <col min="14339" max="14339" width="5" style="3" customWidth="1"/>
    <col min="14340" max="14340" width="17.5703125" style="3" customWidth="1"/>
    <col min="14341" max="14341" width="17.85546875" style="3" customWidth="1"/>
    <col min="14342" max="14358" width="9.140625" style="3" customWidth="1"/>
    <col min="14359" max="14594" width="9" style="3"/>
    <col min="14595" max="14595" width="5" style="3" customWidth="1"/>
    <col min="14596" max="14596" width="17.5703125" style="3" customWidth="1"/>
    <col min="14597" max="14597" width="17.85546875" style="3" customWidth="1"/>
    <col min="14598" max="14614" width="9.140625" style="3" customWidth="1"/>
    <col min="14615" max="14850" width="9" style="3"/>
    <col min="14851" max="14851" width="5" style="3" customWidth="1"/>
    <col min="14852" max="14852" width="17.5703125" style="3" customWidth="1"/>
    <col min="14853" max="14853" width="17.85546875" style="3" customWidth="1"/>
    <col min="14854" max="14870" width="9.140625" style="3" customWidth="1"/>
    <col min="14871" max="15106" width="9" style="3"/>
    <col min="15107" max="15107" width="5" style="3" customWidth="1"/>
    <col min="15108" max="15108" width="17.5703125" style="3" customWidth="1"/>
    <col min="15109" max="15109" width="17.85546875" style="3" customWidth="1"/>
    <col min="15110" max="15126" width="9.140625" style="3" customWidth="1"/>
    <col min="15127" max="15362" width="9" style="3"/>
    <col min="15363" max="15363" width="5" style="3" customWidth="1"/>
    <col min="15364" max="15364" width="17.5703125" style="3" customWidth="1"/>
    <col min="15365" max="15365" width="17.85546875" style="3" customWidth="1"/>
    <col min="15366" max="15382" width="9.140625" style="3" customWidth="1"/>
    <col min="15383" max="15618" width="9" style="3"/>
    <col min="15619" max="15619" width="5" style="3" customWidth="1"/>
    <col min="15620" max="15620" width="17.5703125" style="3" customWidth="1"/>
    <col min="15621" max="15621" width="17.85546875" style="3" customWidth="1"/>
    <col min="15622" max="15638" width="9.140625" style="3" customWidth="1"/>
    <col min="15639" max="15874" width="9" style="3"/>
    <col min="15875" max="15875" width="5" style="3" customWidth="1"/>
    <col min="15876" max="15876" width="17.5703125" style="3" customWidth="1"/>
    <col min="15877" max="15877" width="17.85546875" style="3" customWidth="1"/>
    <col min="15878" max="15894" width="9.140625" style="3" customWidth="1"/>
    <col min="15895" max="16130" width="9" style="3"/>
    <col min="16131" max="16131" width="5" style="3" customWidth="1"/>
    <col min="16132" max="16132" width="17.5703125" style="3" customWidth="1"/>
    <col min="16133" max="16133" width="17.85546875" style="3" customWidth="1"/>
    <col min="16134" max="16150" width="9.140625" style="3" customWidth="1"/>
    <col min="16151" max="16384" width="9" style="3"/>
  </cols>
  <sheetData>
    <row r="1" spans="1:24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9"/>
      <c r="W1" s="1"/>
      <c r="X1" s="1"/>
    </row>
    <row r="2" spans="1:24" ht="174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1"/>
      <c r="V2" s="132" t="s">
        <v>3</v>
      </c>
      <c r="W2" s="10"/>
      <c r="X2" s="10"/>
    </row>
    <row r="3" spans="1:24" x14ac:dyDescent="0.25">
      <c r="A3" s="133" t="s">
        <v>4</v>
      </c>
      <c r="B3" s="19" t="s">
        <v>120</v>
      </c>
      <c r="C3" s="19" t="s">
        <v>119</v>
      </c>
      <c r="D3" s="16"/>
      <c r="E3" s="16"/>
      <c r="F3" s="25"/>
      <c r="G3" s="25"/>
      <c r="H3" s="16">
        <f>100-(82.92-60.42)/60.42*50</f>
        <v>81.380337636544198</v>
      </c>
      <c r="I3" s="16">
        <f>100-(27.52-24.95)/24.95*50</f>
        <v>94.849699398797597</v>
      </c>
      <c r="J3" s="66" t="s">
        <v>12</v>
      </c>
      <c r="K3" s="16">
        <f>100-(39.1-34.43)/34.43*50</f>
        <v>93.21812372930583</v>
      </c>
      <c r="L3" s="27"/>
      <c r="M3" s="16"/>
      <c r="N3" s="16"/>
      <c r="O3" s="16"/>
      <c r="P3" s="16"/>
      <c r="Q3" s="16">
        <f>100-(52.85-43.6)/43.6*50</f>
        <v>89.392201834862391</v>
      </c>
      <c r="R3" s="16">
        <f>100-(52.38-43.77)/43.77*50</f>
        <v>90.164496230294731</v>
      </c>
      <c r="S3" s="16">
        <f>100-(95-89.18)/89.18*50</f>
        <v>96.736936532854898</v>
      </c>
      <c r="T3" s="16">
        <f>100-(100.7-85.62)/85.62*50</f>
        <v>91.193646344312072</v>
      </c>
      <c r="U3" s="16"/>
      <c r="V3" s="134">
        <f>SUM(D3:U3)</f>
        <v>636.93544170697169</v>
      </c>
    </row>
    <row r="4" spans="1:24" x14ac:dyDescent="0.25">
      <c r="A4" s="133" t="s">
        <v>6</v>
      </c>
      <c r="B4" s="19" t="s">
        <v>143</v>
      </c>
      <c r="C4" s="19" t="s">
        <v>113</v>
      </c>
      <c r="D4" s="16"/>
      <c r="E4" s="16"/>
      <c r="F4" s="16"/>
      <c r="G4" s="16"/>
      <c r="H4" s="16"/>
      <c r="I4" s="16"/>
      <c r="J4" s="16"/>
      <c r="K4" s="16">
        <f>100-(34.97-34.43)/34.43*50</f>
        <v>99.215800174266633</v>
      </c>
      <c r="L4" s="16">
        <f>100-(49.55-49.55)/49.55*50</f>
        <v>100</v>
      </c>
      <c r="M4" s="16"/>
      <c r="N4" s="16"/>
      <c r="O4" s="16"/>
      <c r="P4" s="16"/>
      <c r="Q4" s="16">
        <f>100-(43.6-43.6)/43.6*50</f>
        <v>100</v>
      </c>
      <c r="R4" s="16">
        <f>100-(43.77-43.77)/43.77*50</f>
        <v>100</v>
      </c>
      <c r="S4" s="16">
        <f>100-(89.18-89.18)/89.18*50</f>
        <v>100</v>
      </c>
      <c r="T4" s="16">
        <f>100-(85.62-85.62)/85.62*50</f>
        <v>100</v>
      </c>
      <c r="U4" s="16"/>
      <c r="V4" s="134">
        <f>SUM(D4:U4)</f>
        <v>599.21580017426663</v>
      </c>
    </row>
    <row r="5" spans="1:24" x14ac:dyDescent="0.25">
      <c r="A5" s="133" t="s">
        <v>8</v>
      </c>
      <c r="B5" s="19" t="s">
        <v>118</v>
      </c>
      <c r="C5" s="19" t="s">
        <v>119</v>
      </c>
      <c r="D5" s="16"/>
      <c r="E5" s="16"/>
      <c r="F5" s="25"/>
      <c r="G5" s="25"/>
      <c r="H5" s="16">
        <f>100-(96.1-60.42)/60.42*50</f>
        <v>70.473353194306526</v>
      </c>
      <c r="I5" s="16">
        <f>100-(32.22-24.95)/24.95*50</f>
        <v>85.430861723446895</v>
      </c>
      <c r="J5" s="16">
        <f>100-(158.05-102.17)/102.17*50</f>
        <v>72.653420769306052</v>
      </c>
      <c r="K5" s="16">
        <f>100-(39.35-34.43)/34.43*50</f>
        <v>92.85506825442927</v>
      </c>
      <c r="L5" s="27"/>
      <c r="M5" s="16"/>
      <c r="N5" s="16"/>
      <c r="O5" s="16"/>
      <c r="P5" s="16"/>
      <c r="Q5" s="16">
        <f>100-(56.42-43.6)/43.6*50</f>
        <v>85.298165137614674</v>
      </c>
      <c r="R5" s="16"/>
      <c r="S5" s="16"/>
      <c r="T5" s="16"/>
      <c r="U5" s="16"/>
      <c r="V5" s="134">
        <f t="shared" ref="V5:V9" si="0">SUM(D5:U5)</f>
        <v>406.71086907910342</v>
      </c>
    </row>
    <row r="6" spans="1:24" x14ac:dyDescent="0.25">
      <c r="A6" s="133" t="s">
        <v>11</v>
      </c>
      <c r="B6" s="19" t="s">
        <v>123</v>
      </c>
      <c r="C6" s="19" t="s">
        <v>46</v>
      </c>
      <c r="D6" s="16"/>
      <c r="E6" s="50"/>
      <c r="F6" s="28"/>
      <c r="G6" s="16"/>
      <c r="H6" s="16">
        <f>100-(60.42-60.42)/60.42*50</f>
        <v>100</v>
      </c>
      <c r="I6" s="16">
        <f>100-(24.95-24.95)/24.95*50</f>
        <v>100</v>
      </c>
      <c r="J6" s="16">
        <f>100-(102.17-102.17)/102.17*50</f>
        <v>100</v>
      </c>
      <c r="K6" s="16"/>
      <c r="L6" s="16"/>
      <c r="M6" s="19"/>
      <c r="N6" s="19"/>
      <c r="O6" s="16"/>
      <c r="P6" s="19"/>
      <c r="Q6" s="16">
        <f>100-(45.88-43.6)/43.6*50</f>
        <v>97.385321100917423</v>
      </c>
      <c r="R6" s="19"/>
      <c r="S6" s="19"/>
      <c r="T6" s="16"/>
      <c r="U6" s="16"/>
      <c r="V6" s="134">
        <f t="shared" si="0"/>
        <v>397.38532110091739</v>
      </c>
    </row>
    <row r="7" spans="1:24" x14ac:dyDescent="0.25">
      <c r="A7" s="133" t="s">
        <v>13</v>
      </c>
      <c r="B7" s="19" t="s">
        <v>121</v>
      </c>
      <c r="C7" s="19" t="s">
        <v>59</v>
      </c>
      <c r="D7" s="16"/>
      <c r="E7" s="50"/>
      <c r="F7" s="25"/>
      <c r="G7" s="25"/>
      <c r="H7" s="16"/>
      <c r="I7" s="16"/>
      <c r="J7" s="16">
        <f>100-(102.33-102.17)/102.17*50</f>
        <v>99.921699128902816</v>
      </c>
      <c r="K7" s="16">
        <f>100-(34.43-34.43)/34.43*50</f>
        <v>100</v>
      </c>
      <c r="L7" s="16"/>
      <c r="M7" s="16"/>
      <c r="N7" s="16"/>
      <c r="O7" s="16"/>
      <c r="P7" s="16"/>
      <c r="Q7" s="16"/>
      <c r="R7" s="27"/>
      <c r="S7" s="16"/>
      <c r="T7" s="16"/>
      <c r="U7" s="16"/>
      <c r="V7" s="134">
        <f t="shared" si="0"/>
        <v>199.92169912890282</v>
      </c>
    </row>
    <row r="8" spans="1:24" x14ac:dyDescent="0.25">
      <c r="A8" s="133" t="s">
        <v>15</v>
      </c>
      <c r="B8" s="19" t="s">
        <v>145</v>
      </c>
      <c r="C8" s="19" t="s">
        <v>59</v>
      </c>
      <c r="D8" s="16"/>
      <c r="E8" s="16"/>
      <c r="F8" s="25"/>
      <c r="G8" s="25"/>
      <c r="H8" s="16"/>
      <c r="I8" s="16"/>
      <c r="J8" s="16"/>
      <c r="K8" s="16">
        <f>100-(41.47-34.43)/34.43*50</f>
        <v>89.776357827476033</v>
      </c>
      <c r="L8" s="27"/>
      <c r="M8" s="16"/>
      <c r="N8" s="16"/>
      <c r="O8" s="16"/>
      <c r="P8" s="16"/>
      <c r="Q8" s="16"/>
      <c r="R8" s="27"/>
      <c r="S8" s="16"/>
      <c r="T8" s="16"/>
      <c r="U8" s="16"/>
      <c r="V8" s="134">
        <f t="shared" si="0"/>
        <v>89.776357827476033</v>
      </c>
    </row>
    <row r="9" spans="1:24" x14ac:dyDescent="0.25">
      <c r="A9" s="133" t="s">
        <v>17</v>
      </c>
      <c r="B9" s="19" t="s">
        <v>144</v>
      </c>
      <c r="C9" s="19" t="s">
        <v>119</v>
      </c>
      <c r="D9" s="19"/>
      <c r="E9" s="16"/>
      <c r="F9" s="16"/>
      <c r="G9" s="16"/>
      <c r="H9" s="19"/>
      <c r="I9" s="19"/>
      <c r="J9" s="16"/>
      <c r="K9" s="16">
        <f>100-(67.37-34.43)/34.43*50</f>
        <v>52.163810630264294</v>
      </c>
      <c r="L9" s="19"/>
      <c r="M9" s="16"/>
      <c r="N9" s="16"/>
      <c r="O9" s="16"/>
      <c r="P9" s="16"/>
      <c r="Q9" s="16"/>
      <c r="R9" s="27"/>
      <c r="S9" s="16"/>
      <c r="T9" s="16"/>
      <c r="U9" s="16"/>
      <c r="V9" s="134">
        <f t="shared" si="0"/>
        <v>52.163810630264294</v>
      </c>
    </row>
    <row r="10" spans="1:24" x14ac:dyDescent="0.25">
      <c r="A10" s="133" t="s">
        <v>18</v>
      </c>
      <c r="B10" s="19"/>
      <c r="C10" s="19"/>
      <c r="D10" s="16"/>
      <c r="E10" s="16"/>
      <c r="F10" s="25"/>
      <c r="G10" s="25"/>
      <c r="H10" s="16"/>
      <c r="I10" s="16"/>
      <c r="J10" s="16"/>
      <c r="K10" s="16"/>
      <c r="L10" s="27"/>
      <c r="M10" s="16"/>
      <c r="N10" s="16"/>
      <c r="O10" s="16"/>
      <c r="P10" s="16"/>
      <c r="Q10" s="16"/>
      <c r="R10" s="27"/>
      <c r="S10" s="16"/>
      <c r="T10" s="16"/>
      <c r="U10" s="16"/>
      <c r="V10" s="134"/>
    </row>
    <row r="11" spans="1:24" x14ac:dyDescent="0.25">
      <c r="A11" s="133" t="s">
        <v>19</v>
      </c>
      <c r="B11" s="19"/>
      <c r="C11" s="19"/>
      <c r="D11" s="19"/>
      <c r="E11" s="16"/>
      <c r="F11" s="16"/>
      <c r="G11" s="28"/>
      <c r="H11" s="19"/>
      <c r="I11" s="19"/>
      <c r="J11" s="16"/>
      <c r="K11" s="19"/>
      <c r="L11" s="27"/>
      <c r="M11" s="16"/>
      <c r="N11" s="16"/>
      <c r="O11" s="16"/>
      <c r="P11" s="16"/>
      <c r="Q11" s="16"/>
      <c r="R11" s="19"/>
      <c r="S11" s="16"/>
      <c r="T11" s="16"/>
      <c r="U11" s="16"/>
      <c r="V11" s="134"/>
    </row>
    <row r="12" spans="1:24" x14ac:dyDescent="0.25">
      <c r="A12" s="133" t="s">
        <v>20</v>
      </c>
      <c r="B12" s="19"/>
      <c r="C12" s="19"/>
      <c r="D12" s="16"/>
      <c r="E12" s="16"/>
      <c r="F12" s="25"/>
      <c r="G12" s="25"/>
      <c r="H12" s="16"/>
      <c r="I12" s="16"/>
      <c r="J12" s="16"/>
      <c r="K12" s="16"/>
      <c r="L12" s="27"/>
      <c r="M12" s="16"/>
      <c r="N12" s="16"/>
      <c r="O12" s="16"/>
      <c r="P12" s="16"/>
      <c r="Q12" s="16"/>
      <c r="R12" s="27"/>
      <c r="S12" s="16"/>
      <c r="T12" s="16"/>
      <c r="U12" s="16"/>
      <c r="V12" s="134"/>
    </row>
    <row r="13" spans="1:24" x14ac:dyDescent="0.25">
      <c r="A13" s="133" t="s">
        <v>21</v>
      </c>
      <c r="B13" s="19"/>
      <c r="C13" s="19"/>
      <c r="D13" s="19"/>
      <c r="E13" s="16"/>
      <c r="F13" s="16"/>
      <c r="G13" s="16"/>
      <c r="H13" s="19"/>
      <c r="I13" s="19"/>
      <c r="J13" s="16"/>
      <c r="K13" s="19"/>
      <c r="L13" s="19"/>
      <c r="M13" s="16"/>
      <c r="N13" s="16"/>
      <c r="O13" s="16"/>
      <c r="P13" s="16"/>
      <c r="Q13" s="16"/>
      <c r="R13" s="27"/>
      <c r="S13" s="16"/>
      <c r="T13" s="16"/>
      <c r="U13" s="16"/>
      <c r="V13" s="134"/>
    </row>
    <row r="14" spans="1:24" x14ac:dyDescent="0.25">
      <c r="A14" s="133" t="s">
        <v>23</v>
      </c>
      <c r="B14" s="19"/>
      <c r="C14" s="19"/>
      <c r="D14" s="16"/>
      <c r="E14" s="50"/>
      <c r="F14" s="25"/>
      <c r="G14" s="2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7"/>
      <c r="S14" s="16"/>
      <c r="T14" s="16"/>
      <c r="U14" s="16"/>
      <c r="V14" s="134"/>
    </row>
    <row r="15" spans="1:24" x14ac:dyDescent="0.25">
      <c r="A15" s="133" t="s">
        <v>24</v>
      </c>
      <c r="B15" s="19"/>
      <c r="C15" s="19"/>
      <c r="D15" s="19"/>
      <c r="E15" s="16"/>
      <c r="F15" s="16"/>
      <c r="G15" s="16"/>
      <c r="H15" s="19"/>
      <c r="I15" s="19"/>
      <c r="J15" s="16"/>
      <c r="K15" s="19"/>
      <c r="L15" s="16"/>
      <c r="M15" s="16"/>
      <c r="N15" s="16"/>
      <c r="O15" s="16"/>
      <c r="P15" s="16"/>
      <c r="Q15" s="16"/>
      <c r="R15" s="27"/>
      <c r="S15" s="16"/>
      <c r="T15" s="16"/>
      <c r="U15" s="16"/>
      <c r="V15" s="134"/>
    </row>
    <row r="16" spans="1:24" x14ac:dyDescent="0.25">
      <c r="A16" s="133" t="s">
        <v>25</v>
      </c>
      <c r="B16" s="19"/>
      <c r="C16" s="19"/>
      <c r="D16" s="16"/>
      <c r="E16" s="50"/>
      <c r="F16" s="27"/>
      <c r="G16" s="16"/>
      <c r="H16" s="27"/>
      <c r="I16" s="16"/>
      <c r="J16" s="16"/>
      <c r="K16" s="27"/>
      <c r="L16" s="27"/>
      <c r="M16" s="16"/>
      <c r="N16" s="16"/>
      <c r="O16" s="16"/>
      <c r="P16" s="16"/>
      <c r="Q16" s="16"/>
      <c r="R16" s="16"/>
      <c r="S16" s="16"/>
      <c r="T16" s="16"/>
      <c r="U16" s="16"/>
      <c r="V16" s="134"/>
    </row>
    <row r="17" spans="1:22" x14ac:dyDescent="0.25">
      <c r="A17" s="2"/>
      <c r="B17" s="2"/>
      <c r="C17" s="2"/>
      <c r="D17" s="2"/>
      <c r="E17" s="2"/>
      <c r="F17" s="38"/>
      <c r="G17" s="3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4"/>
      <c r="T17" s="34"/>
      <c r="U17" s="34"/>
      <c r="V17" s="2"/>
    </row>
    <row r="18" spans="1:22" s="39" customFormat="1" x14ac:dyDescent="0.25">
      <c r="A18" s="39" t="s">
        <v>26</v>
      </c>
    </row>
    <row r="19" spans="1:22" s="40" customFormat="1" x14ac:dyDescent="0.25">
      <c r="A19" s="40" t="s">
        <v>27</v>
      </c>
    </row>
  </sheetData>
  <sortState ref="B3:V9">
    <sortCondition descending="1" ref="V3"/>
  </sortState>
  <mergeCells count="1">
    <mergeCell ref="A1:V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workbookViewId="0">
      <selection activeCell="Q15" sqref="Q15"/>
    </sheetView>
  </sheetViews>
  <sheetFormatPr defaultColWidth="9" defaultRowHeight="15" x14ac:dyDescent="0.25"/>
  <cols>
    <col min="1" max="1" width="5.140625" style="3" customWidth="1"/>
    <col min="2" max="2" width="19" style="3" customWidth="1"/>
    <col min="3" max="3" width="17.5703125" style="3" customWidth="1"/>
    <col min="4" max="5" width="9.140625" style="3" customWidth="1"/>
    <col min="6" max="6" width="9.140625" style="41" customWidth="1"/>
    <col min="7" max="21" width="9.140625" style="3" customWidth="1"/>
    <col min="22" max="32" width="9" style="2"/>
    <col min="33" max="257" width="9" style="3"/>
    <col min="258" max="258" width="5.140625" style="3" customWidth="1"/>
    <col min="259" max="259" width="19" style="3" customWidth="1"/>
    <col min="260" max="260" width="15.42578125" style="3" customWidth="1"/>
    <col min="261" max="277" width="9.140625" style="3" customWidth="1"/>
    <col min="278" max="513" width="9" style="3"/>
    <col min="514" max="514" width="5.140625" style="3" customWidth="1"/>
    <col min="515" max="515" width="19" style="3" customWidth="1"/>
    <col min="516" max="516" width="15.42578125" style="3" customWidth="1"/>
    <col min="517" max="533" width="9.140625" style="3" customWidth="1"/>
    <col min="534" max="769" width="9" style="3"/>
    <col min="770" max="770" width="5.140625" style="3" customWidth="1"/>
    <col min="771" max="771" width="19" style="3" customWidth="1"/>
    <col min="772" max="772" width="15.42578125" style="3" customWidth="1"/>
    <col min="773" max="789" width="9.140625" style="3" customWidth="1"/>
    <col min="790" max="1025" width="9" style="3"/>
    <col min="1026" max="1026" width="5.140625" style="3" customWidth="1"/>
    <col min="1027" max="1027" width="19" style="3" customWidth="1"/>
    <col min="1028" max="1028" width="15.42578125" style="3" customWidth="1"/>
    <col min="1029" max="1045" width="9.140625" style="3" customWidth="1"/>
    <col min="1046" max="1281" width="9" style="3"/>
    <col min="1282" max="1282" width="5.140625" style="3" customWidth="1"/>
    <col min="1283" max="1283" width="19" style="3" customWidth="1"/>
    <col min="1284" max="1284" width="15.42578125" style="3" customWidth="1"/>
    <col min="1285" max="1301" width="9.140625" style="3" customWidth="1"/>
    <col min="1302" max="1537" width="9" style="3"/>
    <col min="1538" max="1538" width="5.140625" style="3" customWidth="1"/>
    <col min="1539" max="1539" width="19" style="3" customWidth="1"/>
    <col min="1540" max="1540" width="15.42578125" style="3" customWidth="1"/>
    <col min="1541" max="1557" width="9.140625" style="3" customWidth="1"/>
    <col min="1558" max="1793" width="9" style="3"/>
    <col min="1794" max="1794" width="5.140625" style="3" customWidth="1"/>
    <col min="1795" max="1795" width="19" style="3" customWidth="1"/>
    <col min="1796" max="1796" width="15.42578125" style="3" customWidth="1"/>
    <col min="1797" max="1813" width="9.140625" style="3" customWidth="1"/>
    <col min="1814" max="2049" width="9" style="3"/>
    <col min="2050" max="2050" width="5.140625" style="3" customWidth="1"/>
    <col min="2051" max="2051" width="19" style="3" customWidth="1"/>
    <col min="2052" max="2052" width="15.42578125" style="3" customWidth="1"/>
    <col min="2053" max="2069" width="9.140625" style="3" customWidth="1"/>
    <col min="2070" max="2305" width="9" style="3"/>
    <col min="2306" max="2306" width="5.140625" style="3" customWidth="1"/>
    <col min="2307" max="2307" width="19" style="3" customWidth="1"/>
    <col min="2308" max="2308" width="15.42578125" style="3" customWidth="1"/>
    <col min="2309" max="2325" width="9.140625" style="3" customWidth="1"/>
    <col min="2326" max="2561" width="9" style="3"/>
    <col min="2562" max="2562" width="5.140625" style="3" customWidth="1"/>
    <col min="2563" max="2563" width="19" style="3" customWidth="1"/>
    <col min="2564" max="2564" width="15.42578125" style="3" customWidth="1"/>
    <col min="2565" max="2581" width="9.140625" style="3" customWidth="1"/>
    <col min="2582" max="2817" width="9" style="3"/>
    <col min="2818" max="2818" width="5.140625" style="3" customWidth="1"/>
    <col min="2819" max="2819" width="19" style="3" customWidth="1"/>
    <col min="2820" max="2820" width="15.42578125" style="3" customWidth="1"/>
    <col min="2821" max="2837" width="9.140625" style="3" customWidth="1"/>
    <col min="2838" max="3073" width="9" style="3"/>
    <col min="3074" max="3074" width="5.140625" style="3" customWidth="1"/>
    <col min="3075" max="3075" width="19" style="3" customWidth="1"/>
    <col min="3076" max="3076" width="15.42578125" style="3" customWidth="1"/>
    <col min="3077" max="3093" width="9.140625" style="3" customWidth="1"/>
    <col min="3094" max="3329" width="9" style="3"/>
    <col min="3330" max="3330" width="5.140625" style="3" customWidth="1"/>
    <col min="3331" max="3331" width="19" style="3" customWidth="1"/>
    <col min="3332" max="3332" width="15.42578125" style="3" customWidth="1"/>
    <col min="3333" max="3349" width="9.140625" style="3" customWidth="1"/>
    <col min="3350" max="3585" width="9" style="3"/>
    <col min="3586" max="3586" width="5.140625" style="3" customWidth="1"/>
    <col min="3587" max="3587" width="19" style="3" customWidth="1"/>
    <col min="3588" max="3588" width="15.42578125" style="3" customWidth="1"/>
    <col min="3589" max="3605" width="9.140625" style="3" customWidth="1"/>
    <col min="3606" max="3841" width="9" style="3"/>
    <col min="3842" max="3842" width="5.140625" style="3" customWidth="1"/>
    <col min="3843" max="3843" width="19" style="3" customWidth="1"/>
    <col min="3844" max="3844" width="15.42578125" style="3" customWidth="1"/>
    <col min="3845" max="3861" width="9.140625" style="3" customWidth="1"/>
    <col min="3862" max="4097" width="9" style="3"/>
    <col min="4098" max="4098" width="5.140625" style="3" customWidth="1"/>
    <col min="4099" max="4099" width="19" style="3" customWidth="1"/>
    <col min="4100" max="4100" width="15.42578125" style="3" customWidth="1"/>
    <col min="4101" max="4117" width="9.140625" style="3" customWidth="1"/>
    <col min="4118" max="4353" width="9" style="3"/>
    <col min="4354" max="4354" width="5.140625" style="3" customWidth="1"/>
    <col min="4355" max="4355" width="19" style="3" customWidth="1"/>
    <col min="4356" max="4356" width="15.42578125" style="3" customWidth="1"/>
    <col min="4357" max="4373" width="9.140625" style="3" customWidth="1"/>
    <col min="4374" max="4609" width="9" style="3"/>
    <col min="4610" max="4610" width="5.140625" style="3" customWidth="1"/>
    <col min="4611" max="4611" width="19" style="3" customWidth="1"/>
    <col min="4612" max="4612" width="15.42578125" style="3" customWidth="1"/>
    <col min="4613" max="4629" width="9.140625" style="3" customWidth="1"/>
    <col min="4630" max="4865" width="9" style="3"/>
    <col min="4866" max="4866" width="5.140625" style="3" customWidth="1"/>
    <col min="4867" max="4867" width="19" style="3" customWidth="1"/>
    <col min="4868" max="4868" width="15.42578125" style="3" customWidth="1"/>
    <col min="4869" max="4885" width="9.140625" style="3" customWidth="1"/>
    <col min="4886" max="5121" width="9" style="3"/>
    <col min="5122" max="5122" width="5.140625" style="3" customWidth="1"/>
    <col min="5123" max="5123" width="19" style="3" customWidth="1"/>
    <col min="5124" max="5124" width="15.42578125" style="3" customWidth="1"/>
    <col min="5125" max="5141" width="9.140625" style="3" customWidth="1"/>
    <col min="5142" max="5377" width="9" style="3"/>
    <col min="5378" max="5378" width="5.140625" style="3" customWidth="1"/>
    <col min="5379" max="5379" width="19" style="3" customWidth="1"/>
    <col min="5380" max="5380" width="15.42578125" style="3" customWidth="1"/>
    <col min="5381" max="5397" width="9.140625" style="3" customWidth="1"/>
    <col min="5398" max="5633" width="9" style="3"/>
    <col min="5634" max="5634" width="5.140625" style="3" customWidth="1"/>
    <col min="5635" max="5635" width="19" style="3" customWidth="1"/>
    <col min="5636" max="5636" width="15.42578125" style="3" customWidth="1"/>
    <col min="5637" max="5653" width="9.140625" style="3" customWidth="1"/>
    <col min="5654" max="5889" width="9" style="3"/>
    <col min="5890" max="5890" width="5.140625" style="3" customWidth="1"/>
    <col min="5891" max="5891" width="19" style="3" customWidth="1"/>
    <col min="5892" max="5892" width="15.42578125" style="3" customWidth="1"/>
    <col min="5893" max="5909" width="9.140625" style="3" customWidth="1"/>
    <col min="5910" max="6145" width="9" style="3"/>
    <col min="6146" max="6146" width="5.140625" style="3" customWidth="1"/>
    <col min="6147" max="6147" width="19" style="3" customWidth="1"/>
    <col min="6148" max="6148" width="15.42578125" style="3" customWidth="1"/>
    <col min="6149" max="6165" width="9.140625" style="3" customWidth="1"/>
    <col min="6166" max="6401" width="9" style="3"/>
    <col min="6402" max="6402" width="5.140625" style="3" customWidth="1"/>
    <col min="6403" max="6403" width="19" style="3" customWidth="1"/>
    <col min="6404" max="6404" width="15.42578125" style="3" customWidth="1"/>
    <col min="6405" max="6421" width="9.140625" style="3" customWidth="1"/>
    <col min="6422" max="6657" width="9" style="3"/>
    <col min="6658" max="6658" width="5.140625" style="3" customWidth="1"/>
    <col min="6659" max="6659" width="19" style="3" customWidth="1"/>
    <col min="6660" max="6660" width="15.42578125" style="3" customWidth="1"/>
    <col min="6661" max="6677" width="9.140625" style="3" customWidth="1"/>
    <col min="6678" max="6913" width="9" style="3"/>
    <col min="6914" max="6914" width="5.140625" style="3" customWidth="1"/>
    <col min="6915" max="6915" width="19" style="3" customWidth="1"/>
    <col min="6916" max="6916" width="15.42578125" style="3" customWidth="1"/>
    <col min="6917" max="6933" width="9.140625" style="3" customWidth="1"/>
    <col min="6934" max="7169" width="9" style="3"/>
    <col min="7170" max="7170" width="5.140625" style="3" customWidth="1"/>
    <col min="7171" max="7171" width="19" style="3" customWidth="1"/>
    <col min="7172" max="7172" width="15.42578125" style="3" customWidth="1"/>
    <col min="7173" max="7189" width="9.140625" style="3" customWidth="1"/>
    <col min="7190" max="7425" width="9" style="3"/>
    <col min="7426" max="7426" width="5.140625" style="3" customWidth="1"/>
    <col min="7427" max="7427" width="19" style="3" customWidth="1"/>
    <col min="7428" max="7428" width="15.42578125" style="3" customWidth="1"/>
    <col min="7429" max="7445" width="9.140625" style="3" customWidth="1"/>
    <col min="7446" max="7681" width="9" style="3"/>
    <col min="7682" max="7682" width="5.140625" style="3" customWidth="1"/>
    <col min="7683" max="7683" width="19" style="3" customWidth="1"/>
    <col min="7684" max="7684" width="15.42578125" style="3" customWidth="1"/>
    <col min="7685" max="7701" width="9.140625" style="3" customWidth="1"/>
    <col min="7702" max="7937" width="9" style="3"/>
    <col min="7938" max="7938" width="5.140625" style="3" customWidth="1"/>
    <col min="7939" max="7939" width="19" style="3" customWidth="1"/>
    <col min="7940" max="7940" width="15.42578125" style="3" customWidth="1"/>
    <col min="7941" max="7957" width="9.140625" style="3" customWidth="1"/>
    <col min="7958" max="8193" width="9" style="3"/>
    <col min="8194" max="8194" width="5.140625" style="3" customWidth="1"/>
    <col min="8195" max="8195" width="19" style="3" customWidth="1"/>
    <col min="8196" max="8196" width="15.42578125" style="3" customWidth="1"/>
    <col min="8197" max="8213" width="9.140625" style="3" customWidth="1"/>
    <col min="8214" max="8449" width="9" style="3"/>
    <col min="8450" max="8450" width="5.140625" style="3" customWidth="1"/>
    <col min="8451" max="8451" width="19" style="3" customWidth="1"/>
    <col min="8452" max="8452" width="15.42578125" style="3" customWidth="1"/>
    <col min="8453" max="8469" width="9.140625" style="3" customWidth="1"/>
    <col min="8470" max="8705" width="9" style="3"/>
    <col min="8706" max="8706" width="5.140625" style="3" customWidth="1"/>
    <col min="8707" max="8707" width="19" style="3" customWidth="1"/>
    <col min="8708" max="8708" width="15.42578125" style="3" customWidth="1"/>
    <col min="8709" max="8725" width="9.140625" style="3" customWidth="1"/>
    <col min="8726" max="8961" width="9" style="3"/>
    <col min="8962" max="8962" width="5.140625" style="3" customWidth="1"/>
    <col min="8963" max="8963" width="19" style="3" customWidth="1"/>
    <col min="8964" max="8964" width="15.42578125" style="3" customWidth="1"/>
    <col min="8965" max="8981" width="9.140625" style="3" customWidth="1"/>
    <col min="8982" max="9217" width="9" style="3"/>
    <col min="9218" max="9218" width="5.140625" style="3" customWidth="1"/>
    <col min="9219" max="9219" width="19" style="3" customWidth="1"/>
    <col min="9220" max="9220" width="15.42578125" style="3" customWidth="1"/>
    <col min="9221" max="9237" width="9.140625" style="3" customWidth="1"/>
    <col min="9238" max="9473" width="9" style="3"/>
    <col min="9474" max="9474" width="5.140625" style="3" customWidth="1"/>
    <col min="9475" max="9475" width="19" style="3" customWidth="1"/>
    <col min="9476" max="9476" width="15.42578125" style="3" customWidth="1"/>
    <col min="9477" max="9493" width="9.140625" style="3" customWidth="1"/>
    <col min="9494" max="9729" width="9" style="3"/>
    <col min="9730" max="9730" width="5.140625" style="3" customWidth="1"/>
    <col min="9731" max="9731" width="19" style="3" customWidth="1"/>
    <col min="9732" max="9732" width="15.42578125" style="3" customWidth="1"/>
    <col min="9733" max="9749" width="9.140625" style="3" customWidth="1"/>
    <col min="9750" max="9985" width="9" style="3"/>
    <col min="9986" max="9986" width="5.140625" style="3" customWidth="1"/>
    <col min="9987" max="9987" width="19" style="3" customWidth="1"/>
    <col min="9988" max="9988" width="15.42578125" style="3" customWidth="1"/>
    <col min="9989" max="10005" width="9.140625" style="3" customWidth="1"/>
    <col min="10006" max="10241" width="9" style="3"/>
    <col min="10242" max="10242" width="5.140625" style="3" customWidth="1"/>
    <col min="10243" max="10243" width="19" style="3" customWidth="1"/>
    <col min="10244" max="10244" width="15.42578125" style="3" customWidth="1"/>
    <col min="10245" max="10261" width="9.140625" style="3" customWidth="1"/>
    <col min="10262" max="10497" width="9" style="3"/>
    <col min="10498" max="10498" width="5.140625" style="3" customWidth="1"/>
    <col min="10499" max="10499" width="19" style="3" customWidth="1"/>
    <col min="10500" max="10500" width="15.42578125" style="3" customWidth="1"/>
    <col min="10501" max="10517" width="9.140625" style="3" customWidth="1"/>
    <col min="10518" max="10753" width="9" style="3"/>
    <col min="10754" max="10754" width="5.140625" style="3" customWidth="1"/>
    <col min="10755" max="10755" width="19" style="3" customWidth="1"/>
    <col min="10756" max="10756" width="15.42578125" style="3" customWidth="1"/>
    <col min="10757" max="10773" width="9.140625" style="3" customWidth="1"/>
    <col min="10774" max="11009" width="9" style="3"/>
    <col min="11010" max="11010" width="5.140625" style="3" customWidth="1"/>
    <col min="11011" max="11011" width="19" style="3" customWidth="1"/>
    <col min="11012" max="11012" width="15.42578125" style="3" customWidth="1"/>
    <col min="11013" max="11029" width="9.140625" style="3" customWidth="1"/>
    <col min="11030" max="11265" width="9" style="3"/>
    <col min="11266" max="11266" width="5.140625" style="3" customWidth="1"/>
    <col min="11267" max="11267" width="19" style="3" customWidth="1"/>
    <col min="11268" max="11268" width="15.42578125" style="3" customWidth="1"/>
    <col min="11269" max="11285" width="9.140625" style="3" customWidth="1"/>
    <col min="11286" max="11521" width="9" style="3"/>
    <col min="11522" max="11522" width="5.140625" style="3" customWidth="1"/>
    <col min="11523" max="11523" width="19" style="3" customWidth="1"/>
    <col min="11524" max="11524" width="15.42578125" style="3" customWidth="1"/>
    <col min="11525" max="11541" width="9.140625" style="3" customWidth="1"/>
    <col min="11542" max="11777" width="9" style="3"/>
    <col min="11778" max="11778" width="5.140625" style="3" customWidth="1"/>
    <col min="11779" max="11779" width="19" style="3" customWidth="1"/>
    <col min="11780" max="11780" width="15.42578125" style="3" customWidth="1"/>
    <col min="11781" max="11797" width="9.140625" style="3" customWidth="1"/>
    <col min="11798" max="12033" width="9" style="3"/>
    <col min="12034" max="12034" width="5.140625" style="3" customWidth="1"/>
    <col min="12035" max="12035" width="19" style="3" customWidth="1"/>
    <col min="12036" max="12036" width="15.42578125" style="3" customWidth="1"/>
    <col min="12037" max="12053" width="9.140625" style="3" customWidth="1"/>
    <col min="12054" max="12289" width="9" style="3"/>
    <col min="12290" max="12290" width="5.140625" style="3" customWidth="1"/>
    <col min="12291" max="12291" width="19" style="3" customWidth="1"/>
    <col min="12292" max="12292" width="15.42578125" style="3" customWidth="1"/>
    <col min="12293" max="12309" width="9.140625" style="3" customWidth="1"/>
    <col min="12310" max="12545" width="9" style="3"/>
    <col min="12546" max="12546" width="5.140625" style="3" customWidth="1"/>
    <col min="12547" max="12547" width="19" style="3" customWidth="1"/>
    <col min="12548" max="12548" width="15.42578125" style="3" customWidth="1"/>
    <col min="12549" max="12565" width="9.140625" style="3" customWidth="1"/>
    <col min="12566" max="12801" width="9" style="3"/>
    <col min="12802" max="12802" width="5.140625" style="3" customWidth="1"/>
    <col min="12803" max="12803" width="19" style="3" customWidth="1"/>
    <col min="12804" max="12804" width="15.42578125" style="3" customWidth="1"/>
    <col min="12805" max="12821" width="9.140625" style="3" customWidth="1"/>
    <col min="12822" max="13057" width="9" style="3"/>
    <col min="13058" max="13058" width="5.140625" style="3" customWidth="1"/>
    <col min="13059" max="13059" width="19" style="3" customWidth="1"/>
    <col min="13060" max="13060" width="15.42578125" style="3" customWidth="1"/>
    <col min="13061" max="13077" width="9.140625" style="3" customWidth="1"/>
    <col min="13078" max="13313" width="9" style="3"/>
    <col min="13314" max="13314" width="5.140625" style="3" customWidth="1"/>
    <col min="13315" max="13315" width="19" style="3" customWidth="1"/>
    <col min="13316" max="13316" width="15.42578125" style="3" customWidth="1"/>
    <col min="13317" max="13333" width="9.140625" style="3" customWidth="1"/>
    <col min="13334" max="13569" width="9" style="3"/>
    <col min="13570" max="13570" width="5.140625" style="3" customWidth="1"/>
    <col min="13571" max="13571" width="19" style="3" customWidth="1"/>
    <col min="13572" max="13572" width="15.42578125" style="3" customWidth="1"/>
    <col min="13573" max="13589" width="9.140625" style="3" customWidth="1"/>
    <col min="13590" max="13825" width="9" style="3"/>
    <col min="13826" max="13826" width="5.140625" style="3" customWidth="1"/>
    <col min="13827" max="13827" width="19" style="3" customWidth="1"/>
    <col min="13828" max="13828" width="15.42578125" style="3" customWidth="1"/>
    <col min="13829" max="13845" width="9.140625" style="3" customWidth="1"/>
    <col min="13846" max="14081" width="9" style="3"/>
    <col min="14082" max="14082" width="5.140625" style="3" customWidth="1"/>
    <col min="14083" max="14083" width="19" style="3" customWidth="1"/>
    <col min="14084" max="14084" width="15.42578125" style="3" customWidth="1"/>
    <col min="14085" max="14101" width="9.140625" style="3" customWidth="1"/>
    <col min="14102" max="14337" width="9" style="3"/>
    <col min="14338" max="14338" width="5.140625" style="3" customWidth="1"/>
    <col min="14339" max="14339" width="19" style="3" customWidth="1"/>
    <col min="14340" max="14340" width="15.42578125" style="3" customWidth="1"/>
    <col min="14341" max="14357" width="9.140625" style="3" customWidth="1"/>
    <col min="14358" max="14593" width="9" style="3"/>
    <col min="14594" max="14594" width="5.140625" style="3" customWidth="1"/>
    <col min="14595" max="14595" width="19" style="3" customWidth="1"/>
    <col min="14596" max="14596" width="15.42578125" style="3" customWidth="1"/>
    <col min="14597" max="14613" width="9.140625" style="3" customWidth="1"/>
    <col min="14614" max="14849" width="9" style="3"/>
    <col min="14850" max="14850" width="5.140625" style="3" customWidth="1"/>
    <col min="14851" max="14851" width="19" style="3" customWidth="1"/>
    <col min="14852" max="14852" width="15.42578125" style="3" customWidth="1"/>
    <col min="14853" max="14869" width="9.140625" style="3" customWidth="1"/>
    <col min="14870" max="15105" width="9" style="3"/>
    <col min="15106" max="15106" width="5.140625" style="3" customWidth="1"/>
    <col min="15107" max="15107" width="19" style="3" customWidth="1"/>
    <col min="15108" max="15108" width="15.42578125" style="3" customWidth="1"/>
    <col min="15109" max="15125" width="9.140625" style="3" customWidth="1"/>
    <col min="15126" max="15361" width="9" style="3"/>
    <col min="15362" max="15362" width="5.140625" style="3" customWidth="1"/>
    <col min="15363" max="15363" width="19" style="3" customWidth="1"/>
    <col min="15364" max="15364" width="15.42578125" style="3" customWidth="1"/>
    <col min="15365" max="15381" width="9.140625" style="3" customWidth="1"/>
    <col min="15382" max="15617" width="9" style="3"/>
    <col min="15618" max="15618" width="5.140625" style="3" customWidth="1"/>
    <col min="15619" max="15619" width="19" style="3" customWidth="1"/>
    <col min="15620" max="15620" width="15.42578125" style="3" customWidth="1"/>
    <col min="15621" max="15637" width="9.140625" style="3" customWidth="1"/>
    <col min="15638" max="15873" width="9" style="3"/>
    <col min="15874" max="15874" width="5.140625" style="3" customWidth="1"/>
    <col min="15875" max="15875" width="19" style="3" customWidth="1"/>
    <col min="15876" max="15876" width="15.42578125" style="3" customWidth="1"/>
    <col min="15877" max="15893" width="9.140625" style="3" customWidth="1"/>
    <col min="15894" max="16129" width="9" style="3"/>
    <col min="16130" max="16130" width="5.140625" style="3" customWidth="1"/>
    <col min="16131" max="16131" width="19" style="3" customWidth="1"/>
    <col min="16132" max="16132" width="15.42578125" style="3" customWidth="1"/>
    <col min="16133" max="16149" width="9.140625" style="3" customWidth="1"/>
    <col min="16150" max="16384" width="9" style="3"/>
  </cols>
  <sheetData>
    <row r="1" spans="1:23" ht="34.5" thickBot="1" x14ac:dyDescent="0.3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  <c r="V1" s="1"/>
      <c r="W1" s="1"/>
    </row>
    <row r="2" spans="1:23" ht="174" customHeight="1" thickBot="1" x14ac:dyDescent="0.3">
      <c r="A2" s="4" t="s">
        <v>0</v>
      </c>
      <c r="B2" s="5" t="s">
        <v>1</v>
      </c>
      <c r="C2" s="6" t="s">
        <v>2</v>
      </c>
      <c r="D2" s="90" t="s">
        <v>83</v>
      </c>
      <c r="E2" s="7" t="s">
        <v>84</v>
      </c>
      <c r="F2" s="90" t="s">
        <v>102</v>
      </c>
      <c r="G2" s="90" t="s">
        <v>103</v>
      </c>
      <c r="H2" s="7" t="s">
        <v>109</v>
      </c>
      <c r="I2" s="7" t="s">
        <v>110</v>
      </c>
      <c r="J2" s="7" t="s">
        <v>111</v>
      </c>
      <c r="K2" s="7" t="s">
        <v>138</v>
      </c>
      <c r="L2" s="7" t="s">
        <v>139</v>
      </c>
      <c r="M2" s="7" t="s">
        <v>152</v>
      </c>
      <c r="N2" s="7" t="s">
        <v>153</v>
      </c>
      <c r="O2" s="7" t="s">
        <v>160</v>
      </c>
      <c r="P2" s="7" t="s">
        <v>161</v>
      </c>
      <c r="Q2" s="7" t="s">
        <v>183</v>
      </c>
      <c r="R2" s="7" t="s">
        <v>184</v>
      </c>
      <c r="S2" s="7" t="s">
        <v>185</v>
      </c>
      <c r="T2" s="7" t="s">
        <v>186</v>
      </c>
      <c r="U2" s="9" t="s">
        <v>3</v>
      </c>
      <c r="V2" s="10"/>
      <c r="W2" s="10"/>
    </row>
    <row r="3" spans="1:23" ht="17.25" customHeight="1" x14ac:dyDescent="0.25">
      <c r="A3" s="108" t="s">
        <v>4</v>
      </c>
      <c r="B3" s="109" t="s">
        <v>180</v>
      </c>
      <c r="C3" s="110" t="s">
        <v>165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5"/>
      <c r="P3" s="15">
        <f>100-(92.13-92.13)/92.13*50</f>
        <v>100</v>
      </c>
      <c r="Q3" s="112"/>
      <c r="R3" s="112"/>
      <c r="S3" s="112"/>
      <c r="T3" s="112"/>
      <c r="U3" s="18">
        <f>SUM(D3:T3)</f>
        <v>100</v>
      </c>
      <c r="V3" s="10"/>
      <c r="W3" s="10"/>
    </row>
    <row r="4" spans="1:23" ht="17.25" customHeight="1" x14ac:dyDescent="0.25">
      <c r="A4" s="113" t="s">
        <v>6</v>
      </c>
      <c r="B4" s="114" t="s">
        <v>172</v>
      </c>
      <c r="C4" s="118" t="s">
        <v>165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22"/>
      <c r="P4" s="22">
        <f>100-(99.2-92.13)/92.13*50</f>
        <v>96.16303050037989</v>
      </c>
      <c r="Q4" s="116"/>
      <c r="R4" s="116"/>
      <c r="S4" s="116"/>
      <c r="T4" s="116"/>
      <c r="U4" s="49">
        <f>SUM(D4:T4)</f>
        <v>96.16303050037989</v>
      </c>
      <c r="V4" s="10"/>
      <c r="W4" s="10"/>
    </row>
    <row r="5" spans="1:23" ht="16.5" thickBot="1" x14ac:dyDescent="0.3">
      <c r="A5" s="119" t="s">
        <v>8</v>
      </c>
      <c r="B5" s="30" t="s">
        <v>181</v>
      </c>
      <c r="C5" s="117" t="s">
        <v>165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44"/>
      <c r="O5" s="32"/>
      <c r="P5" s="32">
        <f>100-(106.93-92.13)/92.13*50</f>
        <v>91.96787148594376</v>
      </c>
      <c r="Q5" s="44"/>
      <c r="R5" s="31"/>
      <c r="S5" s="31"/>
      <c r="T5" s="31"/>
      <c r="U5" s="67">
        <f>SUM(D5:T5)</f>
        <v>91.96787148594376</v>
      </c>
    </row>
    <row r="6" spans="1:23" x14ac:dyDescent="0.25">
      <c r="A6" s="2"/>
      <c r="B6" s="2"/>
      <c r="C6" s="2"/>
      <c r="D6" s="34"/>
      <c r="E6" s="34"/>
      <c r="F6" s="35"/>
      <c r="G6" s="34"/>
      <c r="H6" s="34"/>
      <c r="I6" s="34"/>
      <c r="J6" s="34"/>
      <c r="K6" s="34"/>
      <c r="L6" s="34"/>
      <c r="M6" s="35"/>
      <c r="N6" s="34"/>
      <c r="O6" s="35"/>
      <c r="P6" s="35"/>
      <c r="Q6" s="35"/>
      <c r="R6" s="35"/>
      <c r="S6" s="35"/>
      <c r="T6" s="35"/>
      <c r="U6" s="37"/>
    </row>
    <row r="7" spans="1:23" x14ac:dyDescent="0.25">
      <c r="A7" s="2"/>
      <c r="B7" s="2"/>
      <c r="C7" s="2"/>
      <c r="D7" s="34"/>
      <c r="E7" s="34"/>
      <c r="F7" s="35"/>
      <c r="G7" s="34"/>
      <c r="H7" s="34"/>
      <c r="I7" s="34"/>
      <c r="J7" s="34"/>
      <c r="K7" s="34"/>
      <c r="L7" s="34"/>
      <c r="M7" s="35"/>
      <c r="N7" s="34"/>
      <c r="O7" s="35"/>
      <c r="P7" s="35"/>
      <c r="Q7" s="35"/>
      <c r="R7" s="35"/>
      <c r="S7" s="35"/>
      <c r="T7" s="35"/>
      <c r="U7" s="37"/>
    </row>
    <row r="8" spans="1:23" x14ac:dyDescent="0.25">
      <c r="A8" s="2"/>
      <c r="B8" s="2"/>
      <c r="C8" s="2"/>
      <c r="D8" s="38"/>
      <c r="E8" s="2"/>
      <c r="F8" s="38"/>
      <c r="G8" s="2"/>
      <c r="H8" s="2"/>
      <c r="I8" s="2"/>
      <c r="J8" s="38"/>
      <c r="K8" s="38"/>
      <c r="L8" s="2"/>
      <c r="M8" s="57"/>
      <c r="N8" s="2"/>
      <c r="O8" s="2"/>
      <c r="P8" s="2"/>
      <c r="Q8" s="2"/>
      <c r="R8" s="2"/>
      <c r="S8" s="2"/>
      <c r="T8" s="2"/>
      <c r="U8" s="2"/>
    </row>
    <row r="9" spans="1:23" s="39" customFormat="1" x14ac:dyDescent="0.25">
      <c r="A9" s="39" t="s">
        <v>26</v>
      </c>
    </row>
    <row r="10" spans="1:23" s="40" customFormat="1" x14ac:dyDescent="0.25">
      <c r="A10" s="40" t="s">
        <v>27</v>
      </c>
    </row>
    <row r="11" spans="1:23" x14ac:dyDescent="0.25">
      <c r="A11" s="2"/>
      <c r="B11" s="2"/>
      <c r="C11" s="2"/>
      <c r="D11" s="2"/>
      <c r="E11" s="2"/>
      <c r="F11" s="3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25">
      <c r="A12" s="2"/>
      <c r="B12" s="2"/>
      <c r="C12" s="2"/>
      <c r="D12" s="2"/>
      <c r="E12" s="2"/>
      <c r="F12" s="3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25">
      <c r="A13" s="2"/>
      <c r="B13" s="2"/>
      <c r="C13" s="2"/>
      <c r="D13" s="2"/>
      <c r="E13" s="2"/>
      <c r="F13" s="3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25">
      <c r="A14" s="2"/>
      <c r="B14" s="2"/>
      <c r="C14" s="2"/>
      <c r="D14" s="2"/>
      <c r="E14" s="2"/>
      <c r="F14" s="3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25">
      <c r="A15" s="2"/>
      <c r="B15" s="2"/>
      <c r="C15" s="2"/>
      <c r="D15" s="2"/>
      <c r="E15" s="2"/>
      <c r="F15" s="3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25">
      <c r="A16" s="2"/>
      <c r="B16" s="2"/>
      <c r="C16" s="2"/>
      <c r="D16" s="2"/>
      <c r="E16" s="2"/>
      <c r="F16" s="3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6:6" s="2" customFormat="1" x14ac:dyDescent="0.25">
      <c r="F17" s="38"/>
    </row>
    <row r="18" spans="6:6" s="2" customFormat="1" x14ac:dyDescent="0.25">
      <c r="F18" s="38"/>
    </row>
    <row r="19" spans="6:6" s="2" customFormat="1" x14ac:dyDescent="0.25">
      <c r="F19" s="38"/>
    </row>
    <row r="20" spans="6:6" s="2" customFormat="1" x14ac:dyDescent="0.25">
      <c r="F20" s="38"/>
    </row>
    <row r="21" spans="6:6" s="2" customFormat="1" x14ac:dyDescent="0.25">
      <c r="F21" s="38"/>
    </row>
    <row r="22" spans="6:6" s="2" customFormat="1" x14ac:dyDescent="0.25">
      <c r="F22" s="38"/>
    </row>
    <row r="23" spans="6:6" s="2" customFormat="1" x14ac:dyDescent="0.25">
      <c r="F23" s="38"/>
    </row>
    <row r="24" spans="6:6" s="2" customFormat="1" x14ac:dyDescent="0.25">
      <c r="F24" s="38"/>
    </row>
    <row r="25" spans="6:6" s="2" customFormat="1" x14ac:dyDescent="0.25">
      <c r="F25" s="38"/>
    </row>
    <row r="26" spans="6:6" s="2" customFormat="1" x14ac:dyDescent="0.25">
      <c r="F26" s="38"/>
    </row>
    <row r="27" spans="6:6" s="2" customFormat="1" x14ac:dyDescent="0.25">
      <c r="F27" s="38"/>
    </row>
    <row r="28" spans="6:6" s="2" customFormat="1" x14ac:dyDescent="0.25">
      <c r="F28" s="38"/>
    </row>
    <row r="29" spans="6:6" s="2" customFormat="1" x14ac:dyDescent="0.25">
      <c r="F29" s="38"/>
    </row>
    <row r="30" spans="6:6" s="2" customFormat="1" x14ac:dyDescent="0.25">
      <c r="F30" s="38"/>
    </row>
    <row r="31" spans="6:6" s="2" customFormat="1" x14ac:dyDescent="0.25">
      <c r="F31" s="38"/>
    </row>
    <row r="32" spans="6:6" s="2" customFormat="1" x14ac:dyDescent="0.25">
      <c r="F32" s="38"/>
    </row>
    <row r="33" spans="6:6" s="2" customFormat="1" x14ac:dyDescent="0.25">
      <c r="F33" s="38"/>
    </row>
    <row r="34" spans="6:6" s="2" customFormat="1" x14ac:dyDescent="0.25">
      <c r="F34" s="38"/>
    </row>
  </sheetData>
  <mergeCells count="1">
    <mergeCell ref="A1:U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zoomScaleNormal="100" workbookViewId="0">
      <selection activeCell="M15" sqref="M15"/>
    </sheetView>
  </sheetViews>
  <sheetFormatPr defaultColWidth="9" defaultRowHeight="15" x14ac:dyDescent="0.25"/>
  <cols>
    <col min="1" max="1" width="5.140625" style="3" customWidth="1"/>
    <col min="2" max="2" width="23" style="3" customWidth="1"/>
    <col min="3" max="3" width="19.140625" style="3" customWidth="1"/>
    <col min="4" max="5" width="9.140625" style="3" customWidth="1"/>
    <col min="6" max="6" width="9.140625" style="41" customWidth="1"/>
    <col min="7" max="21" width="9.140625" style="3" customWidth="1"/>
    <col min="22" max="32" width="9" style="2"/>
    <col min="33" max="257" width="9" style="3"/>
    <col min="258" max="258" width="5.140625" style="3" customWidth="1"/>
    <col min="259" max="259" width="21.5703125" style="3" customWidth="1"/>
    <col min="260" max="260" width="19.140625" style="3" customWidth="1"/>
    <col min="261" max="277" width="9.140625" style="3" customWidth="1"/>
    <col min="278" max="513" width="9" style="3"/>
    <col min="514" max="514" width="5.140625" style="3" customWidth="1"/>
    <col min="515" max="515" width="21.5703125" style="3" customWidth="1"/>
    <col min="516" max="516" width="19.140625" style="3" customWidth="1"/>
    <col min="517" max="533" width="9.140625" style="3" customWidth="1"/>
    <col min="534" max="769" width="9" style="3"/>
    <col min="770" max="770" width="5.140625" style="3" customWidth="1"/>
    <col min="771" max="771" width="21.5703125" style="3" customWidth="1"/>
    <col min="772" max="772" width="19.140625" style="3" customWidth="1"/>
    <col min="773" max="789" width="9.140625" style="3" customWidth="1"/>
    <col min="790" max="1025" width="9" style="3"/>
    <col min="1026" max="1026" width="5.140625" style="3" customWidth="1"/>
    <col min="1027" max="1027" width="21.5703125" style="3" customWidth="1"/>
    <col min="1028" max="1028" width="19.140625" style="3" customWidth="1"/>
    <col min="1029" max="1045" width="9.140625" style="3" customWidth="1"/>
    <col min="1046" max="1281" width="9" style="3"/>
    <col min="1282" max="1282" width="5.140625" style="3" customWidth="1"/>
    <col min="1283" max="1283" width="21.5703125" style="3" customWidth="1"/>
    <col min="1284" max="1284" width="19.140625" style="3" customWidth="1"/>
    <col min="1285" max="1301" width="9.140625" style="3" customWidth="1"/>
    <col min="1302" max="1537" width="9" style="3"/>
    <col min="1538" max="1538" width="5.140625" style="3" customWidth="1"/>
    <col min="1539" max="1539" width="21.5703125" style="3" customWidth="1"/>
    <col min="1540" max="1540" width="19.140625" style="3" customWidth="1"/>
    <col min="1541" max="1557" width="9.140625" style="3" customWidth="1"/>
    <col min="1558" max="1793" width="9" style="3"/>
    <col min="1794" max="1794" width="5.140625" style="3" customWidth="1"/>
    <col min="1795" max="1795" width="21.5703125" style="3" customWidth="1"/>
    <col min="1796" max="1796" width="19.140625" style="3" customWidth="1"/>
    <col min="1797" max="1813" width="9.140625" style="3" customWidth="1"/>
    <col min="1814" max="2049" width="9" style="3"/>
    <col min="2050" max="2050" width="5.140625" style="3" customWidth="1"/>
    <col min="2051" max="2051" width="21.5703125" style="3" customWidth="1"/>
    <col min="2052" max="2052" width="19.140625" style="3" customWidth="1"/>
    <col min="2053" max="2069" width="9.140625" style="3" customWidth="1"/>
    <col min="2070" max="2305" width="9" style="3"/>
    <col min="2306" max="2306" width="5.140625" style="3" customWidth="1"/>
    <col min="2307" max="2307" width="21.5703125" style="3" customWidth="1"/>
    <col min="2308" max="2308" width="19.140625" style="3" customWidth="1"/>
    <col min="2309" max="2325" width="9.140625" style="3" customWidth="1"/>
    <col min="2326" max="2561" width="9" style="3"/>
    <col min="2562" max="2562" width="5.140625" style="3" customWidth="1"/>
    <col min="2563" max="2563" width="21.5703125" style="3" customWidth="1"/>
    <col min="2564" max="2564" width="19.140625" style="3" customWidth="1"/>
    <col min="2565" max="2581" width="9.140625" style="3" customWidth="1"/>
    <col min="2582" max="2817" width="9" style="3"/>
    <col min="2818" max="2818" width="5.140625" style="3" customWidth="1"/>
    <col min="2819" max="2819" width="21.5703125" style="3" customWidth="1"/>
    <col min="2820" max="2820" width="19.140625" style="3" customWidth="1"/>
    <col min="2821" max="2837" width="9.140625" style="3" customWidth="1"/>
    <col min="2838" max="3073" width="9" style="3"/>
    <col min="3074" max="3074" width="5.140625" style="3" customWidth="1"/>
    <col min="3075" max="3075" width="21.5703125" style="3" customWidth="1"/>
    <col min="3076" max="3076" width="19.140625" style="3" customWidth="1"/>
    <col min="3077" max="3093" width="9.140625" style="3" customWidth="1"/>
    <col min="3094" max="3329" width="9" style="3"/>
    <col min="3330" max="3330" width="5.140625" style="3" customWidth="1"/>
    <col min="3331" max="3331" width="21.5703125" style="3" customWidth="1"/>
    <col min="3332" max="3332" width="19.140625" style="3" customWidth="1"/>
    <col min="3333" max="3349" width="9.140625" style="3" customWidth="1"/>
    <col min="3350" max="3585" width="9" style="3"/>
    <col min="3586" max="3586" width="5.140625" style="3" customWidth="1"/>
    <col min="3587" max="3587" width="21.5703125" style="3" customWidth="1"/>
    <col min="3588" max="3588" width="19.140625" style="3" customWidth="1"/>
    <col min="3589" max="3605" width="9.140625" style="3" customWidth="1"/>
    <col min="3606" max="3841" width="9" style="3"/>
    <col min="3842" max="3842" width="5.140625" style="3" customWidth="1"/>
    <col min="3843" max="3843" width="21.5703125" style="3" customWidth="1"/>
    <col min="3844" max="3844" width="19.140625" style="3" customWidth="1"/>
    <col min="3845" max="3861" width="9.140625" style="3" customWidth="1"/>
    <col min="3862" max="4097" width="9" style="3"/>
    <col min="4098" max="4098" width="5.140625" style="3" customWidth="1"/>
    <col min="4099" max="4099" width="21.5703125" style="3" customWidth="1"/>
    <col min="4100" max="4100" width="19.140625" style="3" customWidth="1"/>
    <col min="4101" max="4117" width="9.140625" style="3" customWidth="1"/>
    <col min="4118" max="4353" width="9" style="3"/>
    <col min="4354" max="4354" width="5.140625" style="3" customWidth="1"/>
    <col min="4355" max="4355" width="21.5703125" style="3" customWidth="1"/>
    <col min="4356" max="4356" width="19.140625" style="3" customWidth="1"/>
    <col min="4357" max="4373" width="9.140625" style="3" customWidth="1"/>
    <col min="4374" max="4609" width="9" style="3"/>
    <col min="4610" max="4610" width="5.140625" style="3" customWidth="1"/>
    <col min="4611" max="4611" width="21.5703125" style="3" customWidth="1"/>
    <col min="4612" max="4612" width="19.140625" style="3" customWidth="1"/>
    <col min="4613" max="4629" width="9.140625" style="3" customWidth="1"/>
    <col min="4630" max="4865" width="9" style="3"/>
    <col min="4866" max="4866" width="5.140625" style="3" customWidth="1"/>
    <col min="4867" max="4867" width="21.5703125" style="3" customWidth="1"/>
    <col min="4868" max="4868" width="19.140625" style="3" customWidth="1"/>
    <col min="4869" max="4885" width="9.140625" style="3" customWidth="1"/>
    <col min="4886" max="5121" width="9" style="3"/>
    <col min="5122" max="5122" width="5.140625" style="3" customWidth="1"/>
    <col min="5123" max="5123" width="21.5703125" style="3" customWidth="1"/>
    <col min="5124" max="5124" width="19.140625" style="3" customWidth="1"/>
    <col min="5125" max="5141" width="9.140625" style="3" customWidth="1"/>
    <col min="5142" max="5377" width="9" style="3"/>
    <col min="5378" max="5378" width="5.140625" style="3" customWidth="1"/>
    <col min="5379" max="5379" width="21.5703125" style="3" customWidth="1"/>
    <col min="5380" max="5380" width="19.140625" style="3" customWidth="1"/>
    <col min="5381" max="5397" width="9.140625" style="3" customWidth="1"/>
    <col min="5398" max="5633" width="9" style="3"/>
    <col min="5634" max="5634" width="5.140625" style="3" customWidth="1"/>
    <col min="5635" max="5635" width="21.5703125" style="3" customWidth="1"/>
    <col min="5636" max="5636" width="19.140625" style="3" customWidth="1"/>
    <col min="5637" max="5653" width="9.140625" style="3" customWidth="1"/>
    <col min="5654" max="5889" width="9" style="3"/>
    <col min="5890" max="5890" width="5.140625" style="3" customWidth="1"/>
    <col min="5891" max="5891" width="21.5703125" style="3" customWidth="1"/>
    <col min="5892" max="5892" width="19.140625" style="3" customWidth="1"/>
    <col min="5893" max="5909" width="9.140625" style="3" customWidth="1"/>
    <col min="5910" max="6145" width="9" style="3"/>
    <col min="6146" max="6146" width="5.140625" style="3" customWidth="1"/>
    <col min="6147" max="6147" width="21.5703125" style="3" customWidth="1"/>
    <col min="6148" max="6148" width="19.140625" style="3" customWidth="1"/>
    <col min="6149" max="6165" width="9.140625" style="3" customWidth="1"/>
    <col min="6166" max="6401" width="9" style="3"/>
    <col min="6402" max="6402" width="5.140625" style="3" customWidth="1"/>
    <col min="6403" max="6403" width="21.5703125" style="3" customWidth="1"/>
    <col min="6404" max="6404" width="19.140625" style="3" customWidth="1"/>
    <col min="6405" max="6421" width="9.140625" style="3" customWidth="1"/>
    <col min="6422" max="6657" width="9" style="3"/>
    <col min="6658" max="6658" width="5.140625" style="3" customWidth="1"/>
    <col min="6659" max="6659" width="21.5703125" style="3" customWidth="1"/>
    <col min="6660" max="6660" width="19.140625" style="3" customWidth="1"/>
    <col min="6661" max="6677" width="9.140625" style="3" customWidth="1"/>
    <col min="6678" max="6913" width="9" style="3"/>
    <col min="6914" max="6914" width="5.140625" style="3" customWidth="1"/>
    <col min="6915" max="6915" width="21.5703125" style="3" customWidth="1"/>
    <col min="6916" max="6916" width="19.140625" style="3" customWidth="1"/>
    <col min="6917" max="6933" width="9.140625" style="3" customWidth="1"/>
    <col min="6934" max="7169" width="9" style="3"/>
    <col min="7170" max="7170" width="5.140625" style="3" customWidth="1"/>
    <col min="7171" max="7171" width="21.5703125" style="3" customWidth="1"/>
    <col min="7172" max="7172" width="19.140625" style="3" customWidth="1"/>
    <col min="7173" max="7189" width="9.140625" style="3" customWidth="1"/>
    <col min="7190" max="7425" width="9" style="3"/>
    <col min="7426" max="7426" width="5.140625" style="3" customWidth="1"/>
    <col min="7427" max="7427" width="21.5703125" style="3" customWidth="1"/>
    <col min="7428" max="7428" width="19.140625" style="3" customWidth="1"/>
    <col min="7429" max="7445" width="9.140625" style="3" customWidth="1"/>
    <col min="7446" max="7681" width="9" style="3"/>
    <col min="7682" max="7682" width="5.140625" style="3" customWidth="1"/>
    <col min="7683" max="7683" width="21.5703125" style="3" customWidth="1"/>
    <col min="7684" max="7684" width="19.140625" style="3" customWidth="1"/>
    <col min="7685" max="7701" width="9.140625" style="3" customWidth="1"/>
    <col min="7702" max="7937" width="9" style="3"/>
    <col min="7938" max="7938" width="5.140625" style="3" customWidth="1"/>
    <col min="7939" max="7939" width="21.5703125" style="3" customWidth="1"/>
    <col min="7940" max="7940" width="19.140625" style="3" customWidth="1"/>
    <col min="7941" max="7957" width="9.140625" style="3" customWidth="1"/>
    <col min="7958" max="8193" width="9" style="3"/>
    <col min="8194" max="8194" width="5.140625" style="3" customWidth="1"/>
    <col min="8195" max="8195" width="21.5703125" style="3" customWidth="1"/>
    <col min="8196" max="8196" width="19.140625" style="3" customWidth="1"/>
    <col min="8197" max="8213" width="9.140625" style="3" customWidth="1"/>
    <col min="8214" max="8449" width="9" style="3"/>
    <col min="8450" max="8450" width="5.140625" style="3" customWidth="1"/>
    <col min="8451" max="8451" width="21.5703125" style="3" customWidth="1"/>
    <col min="8452" max="8452" width="19.140625" style="3" customWidth="1"/>
    <col min="8453" max="8469" width="9.140625" style="3" customWidth="1"/>
    <col min="8470" max="8705" width="9" style="3"/>
    <col min="8706" max="8706" width="5.140625" style="3" customWidth="1"/>
    <col min="8707" max="8707" width="21.5703125" style="3" customWidth="1"/>
    <col min="8708" max="8708" width="19.140625" style="3" customWidth="1"/>
    <col min="8709" max="8725" width="9.140625" style="3" customWidth="1"/>
    <col min="8726" max="8961" width="9" style="3"/>
    <col min="8962" max="8962" width="5.140625" style="3" customWidth="1"/>
    <col min="8963" max="8963" width="21.5703125" style="3" customWidth="1"/>
    <col min="8964" max="8964" width="19.140625" style="3" customWidth="1"/>
    <col min="8965" max="8981" width="9.140625" style="3" customWidth="1"/>
    <col min="8982" max="9217" width="9" style="3"/>
    <col min="9218" max="9218" width="5.140625" style="3" customWidth="1"/>
    <col min="9219" max="9219" width="21.5703125" style="3" customWidth="1"/>
    <col min="9220" max="9220" width="19.140625" style="3" customWidth="1"/>
    <col min="9221" max="9237" width="9.140625" style="3" customWidth="1"/>
    <col min="9238" max="9473" width="9" style="3"/>
    <col min="9474" max="9474" width="5.140625" style="3" customWidth="1"/>
    <col min="9475" max="9475" width="21.5703125" style="3" customWidth="1"/>
    <col min="9476" max="9476" width="19.140625" style="3" customWidth="1"/>
    <col min="9477" max="9493" width="9.140625" style="3" customWidth="1"/>
    <col min="9494" max="9729" width="9" style="3"/>
    <col min="9730" max="9730" width="5.140625" style="3" customWidth="1"/>
    <col min="9731" max="9731" width="21.5703125" style="3" customWidth="1"/>
    <col min="9732" max="9732" width="19.140625" style="3" customWidth="1"/>
    <col min="9733" max="9749" width="9.140625" style="3" customWidth="1"/>
    <col min="9750" max="9985" width="9" style="3"/>
    <col min="9986" max="9986" width="5.140625" style="3" customWidth="1"/>
    <col min="9987" max="9987" width="21.5703125" style="3" customWidth="1"/>
    <col min="9988" max="9988" width="19.140625" style="3" customWidth="1"/>
    <col min="9989" max="10005" width="9.140625" style="3" customWidth="1"/>
    <col min="10006" max="10241" width="9" style="3"/>
    <col min="10242" max="10242" width="5.140625" style="3" customWidth="1"/>
    <col min="10243" max="10243" width="21.5703125" style="3" customWidth="1"/>
    <col min="10244" max="10244" width="19.140625" style="3" customWidth="1"/>
    <col min="10245" max="10261" width="9.140625" style="3" customWidth="1"/>
    <col min="10262" max="10497" width="9" style="3"/>
    <col min="10498" max="10498" width="5.140625" style="3" customWidth="1"/>
    <col min="10499" max="10499" width="21.5703125" style="3" customWidth="1"/>
    <col min="10500" max="10500" width="19.140625" style="3" customWidth="1"/>
    <col min="10501" max="10517" width="9.140625" style="3" customWidth="1"/>
    <col min="10518" max="10753" width="9" style="3"/>
    <col min="10754" max="10754" width="5.140625" style="3" customWidth="1"/>
    <col min="10755" max="10755" width="21.5703125" style="3" customWidth="1"/>
    <col min="10756" max="10756" width="19.140625" style="3" customWidth="1"/>
    <col min="10757" max="10773" width="9.140625" style="3" customWidth="1"/>
    <col min="10774" max="11009" width="9" style="3"/>
    <col min="11010" max="11010" width="5.140625" style="3" customWidth="1"/>
    <col min="11011" max="11011" width="21.5703125" style="3" customWidth="1"/>
    <col min="11012" max="11012" width="19.140625" style="3" customWidth="1"/>
    <col min="11013" max="11029" width="9.140625" style="3" customWidth="1"/>
    <col min="11030" max="11265" width="9" style="3"/>
    <col min="11266" max="11266" width="5.140625" style="3" customWidth="1"/>
    <col min="11267" max="11267" width="21.5703125" style="3" customWidth="1"/>
    <col min="11268" max="11268" width="19.140625" style="3" customWidth="1"/>
    <col min="11269" max="11285" width="9.140625" style="3" customWidth="1"/>
    <col min="11286" max="11521" width="9" style="3"/>
    <col min="11522" max="11522" width="5.140625" style="3" customWidth="1"/>
    <col min="11523" max="11523" width="21.5703125" style="3" customWidth="1"/>
    <col min="11524" max="11524" width="19.140625" style="3" customWidth="1"/>
    <col min="11525" max="11541" width="9.140625" style="3" customWidth="1"/>
    <col min="11542" max="11777" width="9" style="3"/>
    <col min="11778" max="11778" width="5.140625" style="3" customWidth="1"/>
    <col min="11779" max="11779" width="21.5703125" style="3" customWidth="1"/>
    <col min="11780" max="11780" width="19.140625" style="3" customWidth="1"/>
    <col min="11781" max="11797" width="9.140625" style="3" customWidth="1"/>
    <col min="11798" max="12033" width="9" style="3"/>
    <col min="12034" max="12034" width="5.140625" style="3" customWidth="1"/>
    <col min="12035" max="12035" width="21.5703125" style="3" customWidth="1"/>
    <col min="12036" max="12036" width="19.140625" style="3" customWidth="1"/>
    <col min="12037" max="12053" width="9.140625" style="3" customWidth="1"/>
    <col min="12054" max="12289" width="9" style="3"/>
    <col min="12290" max="12290" width="5.140625" style="3" customWidth="1"/>
    <col min="12291" max="12291" width="21.5703125" style="3" customWidth="1"/>
    <col min="12292" max="12292" width="19.140625" style="3" customWidth="1"/>
    <col min="12293" max="12309" width="9.140625" style="3" customWidth="1"/>
    <col min="12310" max="12545" width="9" style="3"/>
    <col min="12546" max="12546" width="5.140625" style="3" customWidth="1"/>
    <col min="12547" max="12547" width="21.5703125" style="3" customWidth="1"/>
    <col min="12548" max="12548" width="19.140625" style="3" customWidth="1"/>
    <col min="12549" max="12565" width="9.140625" style="3" customWidth="1"/>
    <col min="12566" max="12801" width="9" style="3"/>
    <col min="12802" max="12802" width="5.140625" style="3" customWidth="1"/>
    <col min="12803" max="12803" width="21.5703125" style="3" customWidth="1"/>
    <col min="12804" max="12804" width="19.140625" style="3" customWidth="1"/>
    <col min="12805" max="12821" width="9.140625" style="3" customWidth="1"/>
    <col min="12822" max="13057" width="9" style="3"/>
    <col min="13058" max="13058" width="5.140625" style="3" customWidth="1"/>
    <col min="13059" max="13059" width="21.5703125" style="3" customWidth="1"/>
    <col min="13060" max="13060" width="19.140625" style="3" customWidth="1"/>
    <col min="13061" max="13077" width="9.140625" style="3" customWidth="1"/>
    <col min="13078" max="13313" width="9" style="3"/>
    <col min="13314" max="13314" width="5.140625" style="3" customWidth="1"/>
    <col min="13315" max="13315" width="21.5703125" style="3" customWidth="1"/>
    <col min="13316" max="13316" width="19.140625" style="3" customWidth="1"/>
    <col min="13317" max="13333" width="9.140625" style="3" customWidth="1"/>
    <col min="13334" max="13569" width="9" style="3"/>
    <col min="13570" max="13570" width="5.140625" style="3" customWidth="1"/>
    <col min="13571" max="13571" width="21.5703125" style="3" customWidth="1"/>
    <col min="13572" max="13572" width="19.140625" style="3" customWidth="1"/>
    <col min="13573" max="13589" width="9.140625" style="3" customWidth="1"/>
    <col min="13590" max="13825" width="9" style="3"/>
    <col min="13826" max="13826" width="5.140625" style="3" customWidth="1"/>
    <col min="13827" max="13827" width="21.5703125" style="3" customWidth="1"/>
    <col min="13828" max="13828" width="19.140625" style="3" customWidth="1"/>
    <col min="13829" max="13845" width="9.140625" style="3" customWidth="1"/>
    <col min="13846" max="14081" width="9" style="3"/>
    <col min="14082" max="14082" width="5.140625" style="3" customWidth="1"/>
    <col min="14083" max="14083" width="21.5703125" style="3" customWidth="1"/>
    <col min="14084" max="14084" width="19.140625" style="3" customWidth="1"/>
    <col min="14085" max="14101" width="9.140625" style="3" customWidth="1"/>
    <col min="14102" max="14337" width="9" style="3"/>
    <col min="14338" max="14338" width="5.140625" style="3" customWidth="1"/>
    <col min="14339" max="14339" width="21.5703125" style="3" customWidth="1"/>
    <col min="14340" max="14340" width="19.140625" style="3" customWidth="1"/>
    <col min="14341" max="14357" width="9.140625" style="3" customWidth="1"/>
    <col min="14358" max="14593" width="9" style="3"/>
    <col min="14594" max="14594" width="5.140625" style="3" customWidth="1"/>
    <col min="14595" max="14595" width="21.5703125" style="3" customWidth="1"/>
    <col min="14596" max="14596" width="19.140625" style="3" customWidth="1"/>
    <col min="14597" max="14613" width="9.140625" style="3" customWidth="1"/>
    <col min="14614" max="14849" width="9" style="3"/>
    <col min="14850" max="14850" width="5.140625" style="3" customWidth="1"/>
    <col min="14851" max="14851" width="21.5703125" style="3" customWidth="1"/>
    <col min="14852" max="14852" width="19.140625" style="3" customWidth="1"/>
    <col min="14853" max="14869" width="9.140625" style="3" customWidth="1"/>
    <col min="14870" max="15105" width="9" style="3"/>
    <col min="15106" max="15106" width="5.140625" style="3" customWidth="1"/>
    <col min="15107" max="15107" width="21.5703125" style="3" customWidth="1"/>
    <col min="15108" max="15108" width="19.140625" style="3" customWidth="1"/>
    <col min="15109" max="15125" width="9.140625" style="3" customWidth="1"/>
    <col min="15126" max="15361" width="9" style="3"/>
    <col min="15362" max="15362" width="5.140625" style="3" customWidth="1"/>
    <col min="15363" max="15363" width="21.5703125" style="3" customWidth="1"/>
    <col min="15364" max="15364" width="19.140625" style="3" customWidth="1"/>
    <col min="15365" max="15381" width="9.140625" style="3" customWidth="1"/>
    <col min="15382" max="15617" width="9" style="3"/>
    <col min="15618" max="15618" width="5.140625" style="3" customWidth="1"/>
    <col min="15619" max="15619" width="21.5703125" style="3" customWidth="1"/>
    <col min="15620" max="15620" width="19.140625" style="3" customWidth="1"/>
    <col min="15621" max="15637" width="9.140625" style="3" customWidth="1"/>
    <col min="15638" max="15873" width="9" style="3"/>
    <col min="15874" max="15874" width="5.140625" style="3" customWidth="1"/>
    <col min="15875" max="15875" width="21.5703125" style="3" customWidth="1"/>
    <col min="15876" max="15876" width="19.140625" style="3" customWidth="1"/>
    <col min="15877" max="15893" width="9.140625" style="3" customWidth="1"/>
    <col min="15894" max="16129" width="9" style="3"/>
    <col min="16130" max="16130" width="5.140625" style="3" customWidth="1"/>
    <col min="16131" max="16131" width="21.5703125" style="3" customWidth="1"/>
    <col min="16132" max="16132" width="19.140625" style="3" customWidth="1"/>
    <col min="16133" max="16149" width="9.140625" style="3" customWidth="1"/>
    <col min="16150" max="16384" width="9" style="3"/>
  </cols>
  <sheetData>
    <row r="1" spans="1:23" ht="34.5" thickBot="1" x14ac:dyDescent="0.3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  <c r="V1" s="1"/>
      <c r="W1" s="1"/>
    </row>
    <row r="2" spans="1:23" ht="173.25" customHeight="1" thickBot="1" x14ac:dyDescent="0.3">
      <c r="A2" s="4" t="s">
        <v>0</v>
      </c>
      <c r="B2" s="5" t="s">
        <v>1</v>
      </c>
      <c r="C2" s="6" t="s">
        <v>2</v>
      </c>
      <c r="D2" s="90" t="s">
        <v>83</v>
      </c>
      <c r="E2" s="7" t="s">
        <v>84</v>
      </c>
      <c r="F2" s="90" t="s">
        <v>102</v>
      </c>
      <c r="G2" s="90" t="s">
        <v>103</v>
      </c>
      <c r="H2" s="7" t="s">
        <v>109</v>
      </c>
      <c r="I2" s="7" t="s">
        <v>110</v>
      </c>
      <c r="J2" s="7" t="s">
        <v>111</v>
      </c>
      <c r="K2" s="7" t="s">
        <v>138</v>
      </c>
      <c r="L2" s="7" t="s">
        <v>139</v>
      </c>
      <c r="M2" s="7" t="s">
        <v>152</v>
      </c>
      <c r="N2" s="7" t="s">
        <v>153</v>
      </c>
      <c r="O2" s="7" t="s">
        <v>160</v>
      </c>
      <c r="P2" s="7" t="s">
        <v>161</v>
      </c>
      <c r="Q2" s="7" t="s">
        <v>183</v>
      </c>
      <c r="R2" s="7" t="s">
        <v>184</v>
      </c>
      <c r="S2" s="7" t="s">
        <v>185</v>
      </c>
      <c r="T2" s="7" t="s">
        <v>186</v>
      </c>
      <c r="U2" s="9" t="s">
        <v>3</v>
      </c>
      <c r="V2" s="10"/>
      <c r="W2" s="10"/>
    </row>
    <row r="3" spans="1:23" x14ac:dyDescent="0.25">
      <c r="A3" s="54" t="s">
        <v>4</v>
      </c>
      <c r="B3" s="13" t="s">
        <v>122</v>
      </c>
      <c r="C3" s="14" t="s">
        <v>46</v>
      </c>
      <c r="D3" s="100"/>
      <c r="E3" s="15"/>
      <c r="F3" s="76"/>
      <c r="G3" s="15"/>
      <c r="H3" s="22">
        <f>100-(85.83-85.83)/85.83*50</f>
        <v>100</v>
      </c>
      <c r="I3" s="22">
        <f>100-(29.22-29.22)/29.22*50</f>
        <v>100</v>
      </c>
      <c r="J3" s="22">
        <f>100-(90.28-90.28)/90.28*50</f>
        <v>100</v>
      </c>
      <c r="K3" s="80"/>
      <c r="L3" s="15"/>
      <c r="M3" s="15"/>
      <c r="N3" s="42"/>
      <c r="O3" s="15"/>
      <c r="P3" s="15"/>
      <c r="Q3" s="15"/>
      <c r="R3" s="15"/>
      <c r="S3" s="97"/>
      <c r="T3" s="95"/>
      <c r="U3" s="49">
        <f>SUM(D3:T3)</f>
        <v>300</v>
      </c>
    </row>
    <row r="4" spans="1:23" x14ac:dyDescent="0.25">
      <c r="A4" s="56" t="s">
        <v>6</v>
      </c>
      <c r="B4" s="105" t="s">
        <v>123</v>
      </c>
      <c r="C4" s="21" t="s">
        <v>46</v>
      </c>
      <c r="D4" s="88"/>
      <c r="E4" s="16"/>
      <c r="F4" s="17"/>
      <c r="G4" s="92"/>
      <c r="H4" s="22"/>
      <c r="I4" s="19"/>
      <c r="J4" s="22">
        <f>100-(102.17-90.28)/90.28*50</f>
        <v>93.414931324767394</v>
      </c>
      <c r="K4" s="23"/>
      <c r="L4" s="89"/>
      <c r="M4" s="27"/>
      <c r="N4" s="16"/>
      <c r="O4" s="16"/>
      <c r="P4" s="16"/>
      <c r="Q4" s="16"/>
      <c r="R4" s="19"/>
      <c r="S4" s="21"/>
      <c r="T4" s="103"/>
      <c r="U4" s="49">
        <f>SUM(D4:T4)</f>
        <v>93.414931324767394</v>
      </c>
    </row>
    <row r="5" spans="1:23" x14ac:dyDescent="0.25">
      <c r="A5" s="56" t="s">
        <v>8</v>
      </c>
      <c r="B5" s="87" t="s">
        <v>121</v>
      </c>
      <c r="C5" s="21" t="s">
        <v>59</v>
      </c>
      <c r="D5" s="24"/>
      <c r="E5" s="26"/>
      <c r="F5" s="26"/>
      <c r="G5" s="48"/>
      <c r="H5" s="43"/>
      <c r="I5" s="19"/>
      <c r="J5" s="22">
        <f>100-(102.33-90.28)/90.28*50</f>
        <v>93.326318121400092</v>
      </c>
      <c r="K5" s="16"/>
      <c r="L5" s="22"/>
      <c r="M5" s="27"/>
      <c r="N5" s="19"/>
      <c r="O5" s="19"/>
      <c r="P5" s="16"/>
      <c r="Q5" s="16"/>
      <c r="R5" s="16"/>
      <c r="S5" s="78"/>
      <c r="T5" s="94"/>
      <c r="U5" s="49">
        <f>SUM(D5:T5)</f>
        <v>93.326318121400092</v>
      </c>
    </row>
    <row r="6" spans="1:23" x14ac:dyDescent="0.25">
      <c r="A6" s="56" t="s">
        <v>11</v>
      </c>
      <c r="B6" s="87" t="s">
        <v>118</v>
      </c>
      <c r="C6" s="21" t="s">
        <v>119</v>
      </c>
      <c r="D6" s="91"/>
      <c r="E6" s="73"/>
      <c r="F6" s="26"/>
      <c r="G6" s="73"/>
      <c r="H6" s="22"/>
      <c r="I6" s="16"/>
      <c r="J6" s="17">
        <f>100-(158.05-90.28)/90.28*50</f>
        <v>62.46677004873726</v>
      </c>
      <c r="K6" s="16"/>
      <c r="L6" s="22"/>
      <c r="M6" s="16"/>
      <c r="N6" s="16"/>
      <c r="O6" s="25"/>
      <c r="P6" s="25"/>
      <c r="Q6" s="25"/>
      <c r="R6" s="25"/>
      <c r="S6" s="78"/>
      <c r="T6" s="94"/>
      <c r="U6" s="49">
        <f>SUM(D6:T6)</f>
        <v>62.46677004873726</v>
      </c>
    </row>
    <row r="7" spans="1:23" x14ac:dyDescent="0.25">
      <c r="A7" s="56" t="s">
        <v>13</v>
      </c>
      <c r="B7" s="87" t="s">
        <v>120</v>
      </c>
      <c r="C7" s="21" t="s">
        <v>119</v>
      </c>
      <c r="D7" s="24"/>
      <c r="E7" s="26"/>
      <c r="F7" s="26"/>
      <c r="G7" s="48"/>
      <c r="H7" s="16"/>
      <c r="I7" s="19"/>
      <c r="J7" s="63" t="s">
        <v>12</v>
      </c>
      <c r="K7" s="16"/>
      <c r="L7" s="89"/>
      <c r="M7" s="27"/>
      <c r="N7" s="19"/>
      <c r="O7" s="19"/>
      <c r="P7" s="16"/>
      <c r="Q7" s="16"/>
      <c r="R7" s="19"/>
      <c r="S7" s="78"/>
      <c r="T7" s="94"/>
      <c r="U7" s="49">
        <f>SUM(D7:T7)</f>
        <v>0</v>
      </c>
    </row>
    <row r="8" spans="1:23" x14ac:dyDescent="0.25">
      <c r="A8" s="56" t="s">
        <v>15</v>
      </c>
      <c r="B8" s="20"/>
      <c r="C8" s="21"/>
      <c r="D8" s="24"/>
      <c r="E8" s="26"/>
      <c r="F8" s="26"/>
      <c r="G8" s="48"/>
      <c r="H8" s="19"/>
      <c r="I8" s="19"/>
      <c r="J8" s="16"/>
      <c r="K8" s="16"/>
      <c r="L8" s="22"/>
      <c r="M8" s="27"/>
      <c r="N8" s="19"/>
      <c r="O8" s="19"/>
      <c r="P8" s="16"/>
      <c r="Q8" s="16"/>
      <c r="R8" s="16"/>
      <c r="S8" s="21"/>
      <c r="T8" s="103"/>
      <c r="U8" s="49"/>
    </row>
    <row r="9" spans="1:23" x14ac:dyDescent="0.25">
      <c r="A9" s="56" t="s">
        <v>17</v>
      </c>
      <c r="B9" s="20"/>
      <c r="C9" s="21"/>
      <c r="D9" s="24"/>
      <c r="E9" s="26"/>
      <c r="F9" s="82"/>
      <c r="G9" s="26"/>
      <c r="H9" s="16"/>
      <c r="I9" s="16"/>
      <c r="J9" s="16"/>
      <c r="K9" s="16"/>
      <c r="L9" s="22"/>
      <c r="M9" s="25"/>
      <c r="N9" s="22"/>
      <c r="O9" s="64"/>
      <c r="P9" s="16"/>
      <c r="Q9" s="16"/>
      <c r="R9" s="16"/>
      <c r="S9" s="78"/>
      <c r="T9" s="94"/>
      <c r="U9" s="49"/>
    </row>
    <row r="10" spans="1:23" x14ac:dyDescent="0.25">
      <c r="A10" s="56" t="s">
        <v>18</v>
      </c>
      <c r="B10" s="20"/>
      <c r="C10" s="21"/>
      <c r="D10" s="24"/>
      <c r="E10" s="26"/>
      <c r="F10" s="26"/>
      <c r="G10" s="48"/>
      <c r="H10" s="19"/>
      <c r="I10" s="19"/>
      <c r="J10" s="16"/>
      <c r="K10" s="16"/>
      <c r="L10" s="16"/>
      <c r="M10" s="27"/>
      <c r="N10" s="43"/>
      <c r="O10" s="43"/>
      <c r="P10" s="16"/>
      <c r="Q10" s="16"/>
      <c r="R10" s="16"/>
      <c r="S10" s="78"/>
      <c r="T10" s="94"/>
      <c r="U10" s="49"/>
    </row>
    <row r="11" spans="1:23" ht="15.75" thickBot="1" x14ac:dyDescent="0.3">
      <c r="A11" s="29" t="s">
        <v>19</v>
      </c>
      <c r="B11" s="59"/>
      <c r="C11" s="60"/>
      <c r="D11" s="61"/>
      <c r="E11" s="62"/>
      <c r="F11" s="32"/>
      <c r="G11" s="83"/>
      <c r="H11" s="65"/>
      <c r="I11" s="65"/>
      <c r="J11" s="32"/>
      <c r="K11" s="32"/>
      <c r="L11" s="32"/>
      <c r="M11" s="83"/>
      <c r="N11" s="65"/>
      <c r="O11" s="65"/>
      <c r="P11" s="32"/>
      <c r="Q11" s="32"/>
      <c r="R11" s="31"/>
      <c r="S11" s="79"/>
      <c r="T11" s="101"/>
      <c r="U11" s="33"/>
    </row>
    <row r="12" spans="1:23" x14ac:dyDescent="0.25">
      <c r="A12" s="2"/>
      <c r="B12" s="2"/>
      <c r="C12" s="2"/>
      <c r="D12" s="34"/>
      <c r="E12" s="34"/>
      <c r="F12" s="35"/>
      <c r="G12" s="34"/>
      <c r="H12" s="34"/>
      <c r="I12" s="34"/>
      <c r="J12" s="34"/>
      <c r="K12" s="34"/>
      <c r="L12" s="34"/>
      <c r="M12" s="35"/>
      <c r="N12" s="34"/>
      <c r="O12" s="35"/>
      <c r="P12" s="35"/>
      <c r="Q12" s="35"/>
      <c r="R12" s="35"/>
      <c r="S12" s="35"/>
      <c r="T12" s="35"/>
      <c r="U12" s="37"/>
    </row>
    <row r="13" spans="1:23" x14ac:dyDescent="0.25">
      <c r="A13" s="2"/>
      <c r="B13" s="2"/>
      <c r="C13" s="2"/>
      <c r="D13" s="34"/>
      <c r="E13" s="34"/>
      <c r="F13" s="35"/>
      <c r="G13" s="34"/>
      <c r="H13" s="34"/>
      <c r="I13" s="34"/>
      <c r="J13" s="34"/>
      <c r="K13" s="34"/>
      <c r="L13" s="34"/>
      <c r="M13" s="35"/>
      <c r="N13" s="34"/>
      <c r="O13" s="35"/>
      <c r="P13" s="35"/>
      <c r="Q13" s="35"/>
      <c r="R13" s="35"/>
      <c r="S13" s="35"/>
      <c r="T13" s="35"/>
      <c r="U13" s="37"/>
    </row>
    <row r="14" spans="1:23" x14ac:dyDescent="0.25">
      <c r="A14" s="2"/>
      <c r="B14" s="2"/>
      <c r="C14" s="2"/>
      <c r="D14" s="38"/>
      <c r="E14" s="2"/>
      <c r="F14" s="38"/>
      <c r="G14" s="2"/>
      <c r="H14" s="2"/>
      <c r="I14" s="2"/>
      <c r="J14" s="38"/>
      <c r="K14" s="38"/>
      <c r="L14" s="2"/>
      <c r="M14" s="57"/>
      <c r="N14" s="2"/>
      <c r="O14" s="2"/>
      <c r="P14" s="2"/>
      <c r="Q14" s="2"/>
      <c r="R14" s="2"/>
      <c r="S14" s="2"/>
      <c r="T14" s="2"/>
      <c r="U14" s="2"/>
    </row>
    <row r="15" spans="1:23" s="39" customFormat="1" x14ac:dyDescent="0.25">
      <c r="A15" s="39" t="s">
        <v>26</v>
      </c>
    </row>
    <row r="16" spans="1:23" s="40" customFormat="1" x14ac:dyDescent="0.25">
      <c r="A16" s="40" t="s">
        <v>27</v>
      </c>
    </row>
    <row r="17" spans="1:21" x14ac:dyDescent="0.25">
      <c r="A17" s="2"/>
      <c r="B17" s="2"/>
      <c r="C17" s="2"/>
      <c r="D17" s="2"/>
      <c r="E17" s="2"/>
      <c r="F17" s="3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2"/>
      <c r="B18" s="2"/>
      <c r="C18" s="2"/>
      <c r="D18" s="2"/>
      <c r="E18" s="2"/>
      <c r="F18" s="3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2"/>
      <c r="B19" s="2"/>
      <c r="C19" s="2"/>
      <c r="D19" s="2"/>
      <c r="E19" s="2"/>
      <c r="F19" s="3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2"/>
      <c r="B20" s="2"/>
      <c r="C20" s="2"/>
      <c r="D20" s="2"/>
      <c r="E20" s="2"/>
      <c r="F20" s="3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2"/>
      <c r="B21" s="2"/>
      <c r="C21" s="2"/>
      <c r="D21" s="2"/>
      <c r="E21" s="2"/>
      <c r="F21" s="38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2"/>
      <c r="B22" s="2"/>
      <c r="C22" s="2"/>
      <c r="D22" s="2"/>
      <c r="E22" s="2"/>
      <c r="F22" s="3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2" customFormat="1" x14ac:dyDescent="0.25">
      <c r="F23" s="38"/>
    </row>
    <row r="24" spans="1:21" s="2" customFormat="1" x14ac:dyDescent="0.25">
      <c r="F24" s="38"/>
    </row>
    <row r="25" spans="1:21" s="2" customFormat="1" x14ac:dyDescent="0.25">
      <c r="F25" s="38"/>
    </row>
    <row r="26" spans="1:21" s="2" customFormat="1" x14ac:dyDescent="0.25">
      <c r="F26" s="38"/>
    </row>
    <row r="27" spans="1:21" s="2" customFormat="1" x14ac:dyDescent="0.25">
      <c r="F27" s="38"/>
    </row>
    <row r="28" spans="1:21" s="2" customFormat="1" x14ac:dyDescent="0.25">
      <c r="F28" s="38"/>
    </row>
    <row r="29" spans="1:21" s="2" customFormat="1" x14ac:dyDescent="0.25">
      <c r="F29" s="38"/>
    </row>
    <row r="30" spans="1:21" s="2" customFormat="1" x14ac:dyDescent="0.25">
      <c r="F30" s="38"/>
    </row>
    <row r="31" spans="1:21" s="2" customFormat="1" x14ac:dyDescent="0.25">
      <c r="F31" s="38"/>
    </row>
    <row r="32" spans="1:21" s="2" customFormat="1" x14ac:dyDescent="0.25">
      <c r="F32" s="38"/>
    </row>
    <row r="33" spans="6:6" s="2" customFormat="1" x14ac:dyDescent="0.25">
      <c r="F33" s="38"/>
    </row>
    <row r="34" spans="6:6" s="2" customFormat="1" x14ac:dyDescent="0.25">
      <c r="F34" s="38"/>
    </row>
    <row r="35" spans="6:6" s="2" customFormat="1" x14ac:dyDescent="0.25">
      <c r="F35" s="38"/>
    </row>
    <row r="36" spans="6:6" s="2" customFormat="1" x14ac:dyDescent="0.25">
      <c r="F36" s="38"/>
    </row>
    <row r="37" spans="6:6" s="2" customFormat="1" x14ac:dyDescent="0.25">
      <c r="F37" s="38"/>
    </row>
    <row r="38" spans="6:6" s="2" customFormat="1" x14ac:dyDescent="0.25">
      <c r="F38" s="38"/>
    </row>
    <row r="39" spans="6:6" s="2" customFormat="1" x14ac:dyDescent="0.25">
      <c r="F39" s="38"/>
    </row>
    <row r="40" spans="6:6" s="2" customFormat="1" x14ac:dyDescent="0.25">
      <c r="F40" s="38"/>
    </row>
  </sheetData>
  <sortState ref="B3:V7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zoomScaleNormal="100" workbookViewId="0">
      <selection activeCell="F2" sqref="F2"/>
    </sheetView>
  </sheetViews>
  <sheetFormatPr defaultColWidth="9" defaultRowHeight="15" x14ac:dyDescent="0.25"/>
  <cols>
    <col min="1" max="1" width="5.140625" style="3" customWidth="1"/>
    <col min="2" max="2" width="25.85546875" style="3" customWidth="1"/>
    <col min="3" max="3" width="15.5703125" style="3" customWidth="1"/>
    <col min="4" max="5" width="9.140625" style="3" customWidth="1"/>
    <col min="6" max="6" width="9.140625" style="41" customWidth="1"/>
    <col min="7" max="21" width="9.140625" style="3" customWidth="1"/>
    <col min="22" max="31" width="9" style="2"/>
    <col min="32" max="257" width="9" style="3"/>
    <col min="258" max="258" width="5.140625" style="3" customWidth="1"/>
    <col min="259" max="259" width="25.85546875" style="3" customWidth="1"/>
    <col min="260" max="260" width="11.85546875" style="3" customWidth="1"/>
    <col min="261" max="277" width="9.140625" style="3" customWidth="1"/>
    <col min="278" max="513" width="9" style="3"/>
    <col min="514" max="514" width="5.140625" style="3" customWidth="1"/>
    <col min="515" max="515" width="25.85546875" style="3" customWidth="1"/>
    <col min="516" max="516" width="11.85546875" style="3" customWidth="1"/>
    <col min="517" max="533" width="9.140625" style="3" customWidth="1"/>
    <col min="534" max="769" width="9" style="3"/>
    <col min="770" max="770" width="5.140625" style="3" customWidth="1"/>
    <col min="771" max="771" width="25.85546875" style="3" customWidth="1"/>
    <col min="772" max="772" width="11.85546875" style="3" customWidth="1"/>
    <col min="773" max="789" width="9.140625" style="3" customWidth="1"/>
    <col min="790" max="1025" width="9" style="3"/>
    <col min="1026" max="1026" width="5.140625" style="3" customWidth="1"/>
    <col min="1027" max="1027" width="25.85546875" style="3" customWidth="1"/>
    <col min="1028" max="1028" width="11.85546875" style="3" customWidth="1"/>
    <col min="1029" max="1045" width="9.140625" style="3" customWidth="1"/>
    <col min="1046" max="1281" width="9" style="3"/>
    <col min="1282" max="1282" width="5.140625" style="3" customWidth="1"/>
    <col min="1283" max="1283" width="25.85546875" style="3" customWidth="1"/>
    <col min="1284" max="1284" width="11.85546875" style="3" customWidth="1"/>
    <col min="1285" max="1301" width="9.140625" style="3" customWidth="1"/>
    <col min="1302" max="1537" width="9" style="3"/>
    <col min="1538" max="1538" width="5.140625" style="3" customWidth="1"/>
    <col min="1539" max="1539" width="25.85546875" style="3" customWidth="1"/>
    <col min="1540" max="1540" width="11.85546875" style="3" customWidth="1"/>
    <col min="1541" max="1557" width="9.140625" style="3" customWidth="1"/>
    <col min="1558" max="1793" width="9" style="3"/>
    <col min="1794" max="1794" width="5.140625" style="3" customWidth="1"/>
    <col min="1795" max="1795" width="25.85546875" style="3" customWidth="1"/>
    <col min="1796" max="1796" width="11.85546875" style="3" customWidth="1"/>
    <col min="1797" max="1813" width="9.140625" style="3" customWidth="1"/>
    <col min="1814" max="2049" width="9" style="3"/>
    <col min="2050" max="2050" width="5.140625" style="3" customWidth="1"/>
    <col min="2051" max="2051" width="25.85546875" style="3" customWidth="1"/>
    <col min="2052" max="2052" width="11.85546875" style="3" customWidth="1"/>
    <col min="2053" max="2069" width="9.140625" style="3" customWidth="1"/>
    <col min="2070" max="2305" width="9" style="3"/>
    <col min="2306" max="2306" width="5.140625" style="3" customWidth="1"/>
    <col min="2307" max="2307" width="25.85546875" style="3" customWidth="1"/>
    <col min="2308" max="2308" width="11.85546875" style="3" customWidth="1"/>
    <col min="2309" max="2325" width="9.140625" style="3" customWidth="1"/>
    <col min="2326" max="2561" width="9" style="3"/>
    <col min="2562" max="2562" width="5.140625" style="3" customWidth="1"/>
    <col min="2563" max="2563" width="25.85546875" style="3" customWidth="1"/>
    <col min="2564" max="2564" width="11.85546875" style="3" customWidth="1"/>
    <col min="2565" max="2581" width="9.140625" style="3" customWidth="1"/>
    <col min="2582" max="2817" width="9" style="3"/>
    <col min="2818" max="2818" width="5.140625" style="3" customWidth="1"/>
    <col min="2819" max="2819" width="25.85546875" style="3" customWidth="1"/>
    <col min="2820" max="2820" width="11.85546875" style="3" customWidth="1"/>
    <col min="2821" max="2837" width="9.140625" style="3" customWidth="1"/>
    <col min="2838" max="3073" width="9" style="3"/>
    <col min="3074" max="3074" width="5.140625" style="3" customWidth="1"/>
    <col min="3075" max="3075" width="25.85546875" style="3" customWidth="1"/>
    <col min="3076" max="3076" width="11.85546875" style="3" customWidth="1"/>
    <col min="3077" max="3093" width="9.140625" style="3" customWidth="1"/>
    <col min="3094" max="3329" width="9" style="3"/>
    <col min="3330" max="3330" width="5.140625" style="3" customWidth="1"/>
    <col min="3331" max="3331" width="25.85546875" style="3" customWidth="1"/>
    <col min="3332" max="3332" width="11.85546875" style="3" customWidth="1"/>
    <col min="3333" max="3349" width="9.140625" style="3" customWidth="1"/>
    <col min="3350" max="3585" width="9" style="3"/>
    <col min="3586" max="3586" width="5.140625" style="3" customWidth="1"/>
    <col min="3587" max="3587" width="25.85546875" style="3" customWidth="1"/>
    <col min="3588" max="3588" width="11.85546875" style="3" customWidth="1"/>
    <col min="3589" max="3605" width="9.140625" style="3" customWidth="1"/>
    <col min="3606" max="3841" width="9" style="3"/>
    <col min="3842" max="3842" width="5.140625" style="3" customWidth="1"/>
    <col min="3843" max="3843" width="25.85546875" style="3" customWidth="1"/>
    <col min="3844" max="3844" width="11.85546875" style="3" customWidth="1"/>
    <col min="3845" max="3861" width="9.140625" style="3" customWidth="1"/>
    <col min="3862" max="4097" width="9" style="3"/>
    <col min="4098" max="4098" width="5.140625" style="3" customWidth="1"/>
    <col min="4099" max="4099" width="25.85546875" style="3" customWidth="1"/>
    <col min="4100" max="4100" width="11.85546875" style="3" customWidth="1"/>
    <col min="4101" max="4117" width="9.140625" style="3" customWidth="1"/>
    <col min="4118" max="4353" width="9" style="3"/>
    <col min="4354" max="4354" width="5.140625" style="3" customWidth="1"/>
    <col min="4355" max="4355" width="25.85546875" style="3" customWidth="1"/>
    <col min="4356" max="4356" width="11.85546875" style="3" customWidth="1"/>
    <col min="4357" max="4373" width="9.140625" style="3" customWidth="1"/>
    <col min="4374" max="4609" width="9" style="3"/>
    <col min="4610" max="4610" width="5.140625" style="3" customWidth="1"/>
    <col min="4611" max="4611" width="25.85546875" style="3" customWidth="1"/>
    <col min="4612" max="4612" width="11.85546875" style="3" customWidth="1"/>
    <col min="4613" max="4629" width="9.140625" style="3" customWidth="1"/>
    <col min="4630" max="4865" width="9" style="3"/>
    <col min="4866" max="4866" width="5.140625" style="3" customWidth="1"/>
    <col min="4867" max="4867" width="25.85546875" style="3" customWidth="1"/>
    <col min="4868" max="4868" width="11.85546875" style="3" customWidth="1"/>
    <col min="4869" max="4885" width="9.140625" style="3" customWidth="1"/>
    <col min="4886" max="5121" width="9" style="3"/>
    <col min="5122" max="5122" width="5.140625" style="3" customWidth="1"/>
    <col min="5123" max="5123" width="25.85546875" style="3" customWidth="1"/>
    <col min="5124" max="5124" width="11.85546875" style="3" customWidth="1"/>
    <col min="5125" max="5141" width="9.140625" style="3" customWidth="1"/>
    <col min="5142" max="5377" width="9" style="3"/>
    <col min="5378" max="5378" width="5.140625" style="3" customWidth="1"/>
    <col min="5379" max="5379" width="25.85546875" style="3" customWidth="1"/>
    <col min="5380" max="5380" width="11.85546875" style="3" customWidth="1"/>
    <col min="5381" max="5397" width="9.140625" style="3" customWidth="1"/>
    <col min="5398" max="5633" width="9" style="3"/>
    <col min="5634" max="5634" width="5.140625" style="3" customWidth="1"/>
    <col min="5635" max="5635" width="25.85546875" style="3" customWidth="1"/>
    <col min="5636" max="5636" width="11.85546875" style="3" customWidth="1"/>
    <col min="5637" max="5653" width="9.140625" style="3" customWidth="1"/>
    <col min="5654" max="5889" width="9" style="3"/>
    <col min="5890" max="5890" width="5.140625" style="3" customWidth="1"/>
    <col min="5891" max="5891" width="25.85546875" style="3" customWidth="1"/>
    <col min="5892" max="5892" width="11.85546875" style="3" customWidth="1"/>
    <col min="5893" max="5909" width="9.140625" style="3" customWidth="1"/>
    <col min="5910" max="6145" width="9" style="3"/>
    <col min="6146" max="6146" width="5.140625" style="3" customWidth="1"/>
    <col min="6147" max="6147" width="25.85546875" style="3" customWidth="1"/>
    <col min="6148" max="6148" width="11.85546875" style="3" customWidth="1"/>
    <col min="6149" max="6165" width="9.140625" style="3" customWidth="1"/>
    <col min="6166" max="6401" width="9" style="3"/>
    <col min="6402" max="6402" width="5.140625" style="3" customWidth="1"/>
    <col min="6403" max="6403" width="25.85546875" style="3" customWidth="1"/>
    <col min="6404" max="6404" width="11.85546875" style="3" customWidth="1"/>
    <col min="6405" max="6421" width="9.140625" style="3" customWidth="1"/>
    <col min="6422" max="6657" width="9" style="3"/>
    <col min="6658" max="6658" width="5.140625" style="3" customWidth="1"/>
    <col min="6659" max="6659" width="25.85546875" style="3" customWidth="1"/>
    <col min="6660" max="6660" width="11.85546875" style="3" customWidth="1"/>
    <col min="6661" max="6677" width="9.140625" style="3" customWidth="1"/>
    <col min="6678" max="6913" width="9" style="3"/>
    <col min="6914" max="6914" width="5.140625" style="3" customWidth="1"/>
    <col min="6915" max="6915" width="25.85546875" style="3" customWidth="1"/>
    <col min="6916" max="6916" width="11.85546875" style="3" customWidth="1"/>
    <col min="6917" max="6933" width="9.140625" style="3" customWidth="1"/>
    <col min="6934" max="7169" width="9" style="3"/>
    <col min="7170" max="7170" width="5.140625" style="3" customWidth="1"/>
    <col min="7171" max="7171" width="25.85546875" style="3" customWidth="1"/>
    <col min="7172" max="7172" width="11.85546875" style="3" customWidth="1"/>
    <col min="7173" max="7189" width="9.140625" style="3" customWidth="1"/>
    <col min="7190" max="7425" width="9" style="3"/>
    <col min="7426" max="7426" width="5.140625" style="3" customWidth="1"/>
    <col min="7427" max="7427" width="25.85546875" style="3" customWidth="1"/>
    <col min="7428" max="7428" width="11.85546875" style="3" customWidth="1"/>
    <col min="7429" max="7445" width="9.140625" style="3" customWidth="1"/>
    <col min="7446" max="7681" width="9" style="3"/>
    <col min="7682" max="7682" width="5.140625" style="3" customWidth="1"/>
    <col min="7683" max="7683" width="25.85546875" style="3" customWidth="1"/>
    <col min="7684" max="7684" width="11.85546875" style="3" customWidth="1"/>
    <col min="7685" max="7701" width="9.140625" style="3" customWidth="1"/>
    <col min="7702" max="7937" width="9" style="3"/>
    <col min="7938" max="7938" width="5.140625" style="3" customWidth="1"/>
    <col min="7939" max="7939" width="25.85546875" style="3" customWidth="1"/>
    <col min="7940" max="7940" width="11.85546875" style="3" customWidth="1"/>
    <col min="7941" max="7957" width="9.140625" style="3" customWidth="1"/>
    <col min="7958" max="8193" width="9" style="3"/>
    <col min="8194" max="8194" width="5.140625" style="3" customWidth="1"/>
    <col min="8195" max="8195" width="25.85546875" style="3" customWidth="1"/>
    <col min="8196" max="8196" width="11.85546875" style="3" customWidth="1"/>
    <col min="8197" max="8213" width="9.140625" style="3" customWidth="1"/>
    <col min="8214" max="8449" width="9" style="3"/>
    <col min="8450" max="8450" width="5.140625" style="3" customWidth="1"/>
    <col min="8451" max="8451" width="25.85546875" style="3" customWidth="1"/>
    <col min="8452" max="8452" width="11.85546875" style="3" customWidth="1"/>
    <col min="8453" max="8469" width="9.140625" style="3" customWidth="1"/>
    <col min="8470" max="8705" width="9" style="3"/>
    <col min="8706" max="8706" width="5.140625" style="3" customWidth="1"/>
    <col min="8707" max="8707" width="25.85546875" style="3" customWidth="1"/>
    <col min="8708" max="8708" width="11.85546875" style="3" customWidth="1"/>
    <col min="8709" max="8725" width="9.140625" style="3" customWidth="1"/>
    <col min="8726" max="8961" width="9" style="3"/>
    <col min="8962" max="8962" width="5.140625" style="3" customWidth="1"/>
    <col min="8963" max="8963" width="25.85546875" style="3" customWidth="1"/>
    <col min="8964" max="8964" width="11.85546875" style="3" customWidth="1"/>
    <col min="8965" max="8981" width="9.140625" style="3" customWidth="1"/>
    <col min="8982" max="9217" width="9" style="3"/>
    <col min="9218" max="9218" width="5.140625" style="3" customWidth="1"/>
    <col min="9219" max="9219" width="25.85546875" style="3" customWidth="1"/>
    <col min="9220" max="9220" width="11.85546875" style="3" customWidth="1"/>
    <col min="9221" max="9237" width="9.140625" style="3" customWidth="1"/>
    <col min="9238" max="9473" width="9" style="3"/>
    <col min="9474" max="9474" width="5.140625" style="3" customWidth="1"/>
    <col min="9475" max="9475" width="25.85546875" style="3" customWidth="1"/>
    <col min="9476" max="9476" width="11.85546875" style="3" customWidth="1"/>
    <col min="9477" max="9493" width="9.140625" style="3" customWidth="1"/>
    <col min="9494" max="9729" width="9" style="3"/>
    <col min="9730" max="9730" width="5.140625" style="3" customWidth="1"/>
    <col min="9731" max="9731" width="25.85546875" style="3" customWidth="1"/>
    <col min="9732" max="9732" width="11.85546875" style="3" customWidth="1"/>
    <col min="9733" max="9749" width="9.140625" style="3" customWidth="1"/>
    <col min="9750" max="9985" width="9" style="3"/>
    <col min="9986" max="9986" width="5.140625" style="3" customWidth="1"/>
    <col min="9987" max="9987" width="25.85546875" style="3" customWidth="1"/>
    <col min="9988" max="9988" width="11.85546875" style="3" customWidth="1"/>
    <col min="9989" max="10005" width="9.140625" style="3" customWidth="1"/>
    <col min="10006" max="10241" width="9" style="3"/>
    <col min="10242" max="10242" width="5.140625" style="3" customWidth="1"/>
    <col min="10243" max="10243" width="25.85546875" style="3" customWidth="1"/>
    <col min="10244" max="10244" width="11.85546875" style="3" customWidth="1"/>
    <col min="10245" max="10261" width="9.140625" style="3" customWidth="1"/>
    <col min="10262" max="10497" width="9" style="3"/>
    <col min="10498" max="10498" width="5.140625" style="3" customWidth="1"/>
    <col min="10499" max="10499" width="25.85546875" style="3" customWidth="1"/>
    <col min="10500" max="10500" width="11.85546875" style="3" customWidth="1"/>
    <col min="10501" max="10517" width="9.140625" style="3" customWidth="1"/>
    <col min="10518" max="10753" width="9" style="3"/>
    <col min="10754" max="10754" width="5.140625" style="3" customWidth="1"/>
    <col min="10755" max="10755" width="25.85546875" style="3" customWidth="1"/>
    <col min="10756" max="10756" width="11.85546875" style="3" customWidth="1"/>
    <col min="10757" max="10773" width="9.140625" style="3" customWidth="1"/>
    <col min="10774" max="11009" width="9" style="3"/>
    <col min="11010" max="11010" width="5.140625" style="3" customWidth="1"/>
    <col min="11011" max="11011" width="25.85546875" style="3" customWidth="1"/>
    <col min="11012" max="11012" width="11.85546875" style="3" customWidth="1"/>
    <col min="11013" max="11029" width="9.140625" style="3" customWidth="1"/>
    <col min="11030" max="11265" width="9" style="3"/>
    <col min="11266" max="11266" width="5.140625" style="3" customWidth="1"/>
    <col min="11267" max="11267" width="25.85546875" style="3" customWidth="1"/>
    <col min="11268" max="11268" width="11.85546875" style="3" customWidth="1"/>
    <col min="11269" max="11285" width="9.140625" style="3" customWidth="1"/>
    <col min="11286" max="11521" width="9" style="3"/>
    <col min="11522" max="11522" width="5.140625" style="3" customWidth="1"/>
    <col min="11523" max="11523" width="25.85546875" style="3" customWidth="1"/>
    <col min="11524" max="11524" width="11.85546875" style="3" customWidth="1"/>
    <col min="11525" max="11541" width="9.140625" style="3" customWidth="1"/>
    <col min="11542" max="11777" width="9" style="3"/>
    <col min="11778" max="11778" width="5.140625" style="3" customWidth="1"/>
    <col min="11779" max="11779" width="25.85546875" style="3" customWidth="1"/>
    <col min="11780" max="11780" width="11.85546875" style="3" customWidth="1"/>
    <col min="11781" max="11797" width="9.140625" style="3" customWidth="1"/>
    <col min="11798" max="12033" width="9" style="3"/>
    <col min="12034" max="12034" width="5.140625" style="3" customWidth="1"/>
    <col min="12035" max="12035" width="25.85546875" style="3" customWidth="1"/>
    <col min="12036" max="12036" width="11.85546875" style="3" customWidth="1"/>
    <col min="12037" max="12053" width="9.140625" style="3" customWidth="1"/>
    <col min="12054" max="12289" width="9" style="3"/>
    <col min="12290" max="12290" width="5.140625" style="3" customWidth="1"/>
    <col min="12291" max="12291" width="25.85546875" style="3" customWidth="1"/>
    <col min="12292" max="12292" width="11.85546875" style="3" customWidth="1"/>
    <col min="12293" max="12309" width="9.140625" style="3" customWidth="1"/>
    <col min="12310" max="12545" width="9" style="3"/>
    <col min="12546" max="12546" width="5.140625" style="3" customWidth="1"/>
    <col min="12547" max="12547" width="25.85546875" style="3" customWidth="1"/>
    <col min="12548" max="12548" width="11.85546875" style="3" customWidth="1"/>
    <col min="12549" max="12565" width="9.140625" style="3" customWidth="1"/>
    <col min="12566" max="12801" width="9" style="3"/>
    <col min="12802" max="12802" width="5.140625" style="3" customWidth="1"/>
    <col min="12803" max="12803" width="25.85546875" style="3" customWidth="1"/>
    <col min="12804" max="12804" width="11.85546875" style="3" customWidth="1"/>
    <col min="12805" max="12821" width="9.140625" style="3" customWidth="1"/>
    <col min="12822" max="13057" width="9" style="3"/>
    <col min="13058" max="13058" width="5.140625" style="3" customWidth="1"/>
    <col min="13059" max="13059" width="25.85546875" style="3" customWidth="1"/>
    <col min="13060" max="13060" width="11.85546875" style="3" customWidth="1"/>
    <col min="13061" max="13077" width="9.140625" style="3" customWidth="1"/>
    <col min="13078" max="13313" width="9" style="3"/>
    <col min="13314" max="13314" width="5.140625" style="3" customWidth="1"/>
    <col min="13315" max="13315" width="25.85546875" style="3" customWidth="1"/>
    <col min="13316" max="13316" width="11.85546875" style="3" customWidth="1"/>
    <col min="13317" max="13333" width="9.140625" style="3" customWidth="1"/>
    <col min="13334" max="13569" width="9" style="3"/>
    <col min="13570" max="13570" width="5.140625" style="3" customWidth="1"/>
    <col min="13571" max="13571" width="25.85546875" style="3" customWidth="1"/>
    <col min="13572" max="13572" width="11.85546875" style="3" customWidth="1"/>
    <col min="13573" max="13589" width="9.140625" style="3" customWidth="1"/>
    <col min="13590" max="13825" width="9" style="3"/>
    <col min="13826" max="13826" width="5.140625" style="3" customWidth="1"/>
    <col min="13827" max="13827" width="25.85546875" style="3" customWidth="1"/>
    <col min="13828" max="13828" width="11.85546875" style="3" customWidth="1"/>
    <col min="13829" max="13845" width="9.140625" style="3" customWidth="1"/>
    <col min="13846" max="14081" width="9" style="3"/>
    <col min="14082" max="14082" width="5.140625" style="3" customWidth="1"/>
    <col min="14083" max="14083" width="25.85546875" style="3" customWidth="1"/>
    <col min="14084" max="14084" width="11.85546875" style="3" customWidth="1"/>
    <col min="14085" max="14101" width="9.140625" style="3" customWidth="1"/>
    <col min="14102" max="14337" width="9" style="3"/>
    <col min="14338" max="14338" width="5.140625" style="3" customWidth="1"/>
    <col min="14339" max="14339" width="25.85546875" style="3" customWidth="1"/>
    <col min="14340" max="14340" width="11.85546875" style="3" customWidth="1"/>
    <col min="14341" max="14357" width="9.140625" style="3" customWidth="1"/>
    <col min="14358" max="14593" width="9" style="3"/>
    <col min="14594" max="14594" width="5.140625" style="3" customWidth="1"/>
    <col min="14595" max="14595" width="25.85546875" style="3" customWidth="1"/>
    <col min="14596" max="14596" width="11.85546875" style="3" customWidth="1"/>
    <col min="14597" max="14613" width="9.140625" style="3" customWidth="1"/>
    <col min="14614" max="14849" width="9" style="3"/>
    <col min="14850" max="14850" width="5.140625" style="3" customWidth="1"/>
    <col min="14851" max="14851" width="25.85546875" style="3" customWidth="1"/>
    <col min="14852" max="14852" width="11.85546875" style="3" customWidth="1"/>
    <col min="14853" max="14869" width="9.140625" style="3" customWidth="1"/>
    <col min="14870" max="15105" width="9" style="3"/>
    <col min="15106" max="15106" width="5.140625" style="3" customWidth="1"/>
    <col min="15107" max="15107" width="25.85546875" style="3" customWidth="1"/>
    <col min="15108" max="15108" width="11.85546875" style="3" customWidth="1"/>
    <col min="15109" max="15125" width="9.140625" style="3" customWidth="1"/>
    <col min="15126" max="15361" width="9" style="3"/>
    <col min="15362" max="15362" width="5.140625" style="3" customWidth="1"/>
    <col min="15363" max="15363" width="25.85546875" style="3" customWidth="1"/>
    <col min="15364" max="15364" width="11.85546875" style="3" customWidth="1"/>
    <col min="15365" max="15381" width="9.140625" style="3" customWidth="1"/>
    <col min="15382" max="15617" width="9" style="3"/>
    <col min="15618" max="15618" width="5.140625" style="3" customWidth="1"/>
    <col min="15619" max="15619" width="25.85546875" style="3" customWidth="1"/>
    <col min="15620" max="15620" width="11.85546875" style="3" customWidth="1"/>
    <col min="15621" max="15637" width="9.140625" style="3" customWidth="1"/>
    <col min="15638" max="15873" width="9" style="3"/>
    <col min="15874" max="15874" width="5.140625" style="3" customWidth="1"/>
    <col min="15875" max="15875" width="25.85546875" style="3" customWidth="1"/>
    <col min="15876" max="15876" width="11.85546875" style="3" customWidth="1"/>
    <col min="15877" max="15893" width="9.140625" style="3" customWidth="1"/>
    <col min="15894" max="16129" width="9" style="3"/>
    <col min="16130" max="16130" width="5.140625" style="3" customWidth="1"/>
    <col min="16131" max="16131" width="25.85546875" style="3" customWidth="1"/>
    <col min="16132" max="16132" width="11.85546875" style="3" customWidth="1"/>
    <col min="16133" max="16149" width="9.140625" style="3" customWidth="1"/>
    <col min="16150" max="16384" width="9" style="3"/>
  </cols>
  <sheetData>
    <row r="1" spans="1:23" ht="33.75" x14ac:dyDescent="0.25">
      <c r="A1" s="127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"/>
      <c r="W1" s="1"/>
    </row>
    <row r="2" spans="1:23" ht="178.5" customHeight="1" x14ac:dyDescent="0.25">
      <c r="A2" s="130" t="s">
        <v>0</v>
      </c>
      <c r="B2" s="130" t="s">
        <v>1</v>
      </c>
      <c r="C2" s="130" t="s">
        <v>2</v>
      </c>
      <c r="D2" s="131" t="s">
        <v>83</v>
      </c>
      <c r="E2" s="131" t="s">
        <v>84</v>
      </c>
      <c r="F2" s="131" t="s">
        <v>102</v>
      </c>
      <c r="G2" s="131" t="s">
        <v>103</v>
      </c>
      <c r="H2" s="131" t="s">
        <v>109</v>
      </c>
      <c r="I2" s="131" t="s">
        <v>110</v>
      </c>
      <c r="J2" s="131" t="s">
        <v>111</v>
      </c>
      <c r="K2" s="131" t="s">
        <v>138</v>
      </c>
      <c r="L2" s="131" t="s">
        <v>139</v>
      </c>
      <c r="M2" s="131" t="s">
        <v>152</v>
      </c>
      <c r="N2" s="131" t="s">
        <v>153</v>
      </c>
      <c r="O2" s="131" t="s">
        <v>160</v>
      </c>
      <c r="P2" s="131" t="s">
        <v>161</v>
      </c>
      <c r="Q2" s="131" t="s">
        <v>183</v>
      </c>
      <c r="R2" s="131" t="s">
        <v>184</v>
      </c>
      <c r="S2" s="131" t="s">
        <v>185</v>
      </c>
      <c r="T2" s="131" t="s">
        <v>186</v>
      </c>
      <c r="U2" s="132" t="s">
        <v>3</v>
      </c>
      <c r="V2" s="10"/>
      <c r="W2" s="10"/>
    </row>
    <row r="3" spans="1:23" x14ac:dyDescent="0.25">
      <c r="A3" s="133" t="s">
        <v>4</v>
      </c>
      <c r="B3" s="19" t="s">
        <v>75</v>
      </c>
      <c r="C3" s="19" t="s">
        <v>90</v>
      </c>
      <c r="D3" s="107">
        <f>100-(94.52-55.22)/55.22*50</f>
        <v>64.415067004708447</v>
      </c>
      <c r="E3" s="16"/>
      <c r="F3" s="16">
        <f>100-(69.2-69.2)/69.2*50</f>
        <v>100</v>
      </c>
      <c r="G3" s="16">
        <f>100-(106.55-106.55)/106.55*50</f>
        <v>100</v>
      </c>
      <c r="H3" s="16"/>
      <c r="I3" s="120">
        <f>100-(37.6-37.6)/37.6*50</f>
        <v>100</v>
      </c>
      <c r="J3" s="120">
        <f>100-(55.88-55.88)/55.88*50</f>
        <v>100</v>
      </c>
      <c r="K3" s="16">
        <f>100-(37.6-37.6)/37.6*50</f>
        <v>100</v>
      </c>
      <c r="L3" s="16">
        <f>100-(55.88-55.88)/55.88*50</f>
        <v>100</v>
      </c>
      <c r="M3" s="16">
        <f>100-(34.23-34.23)/34.23*50</f>
        <v>100</v>
      </c>
      <c r="N3" s="16">
        <f>100-(113.98-113.98)/113.98*50</f>
        <v>100</v>
      </c>
      <c r="O3" s="107">
        <f>100-(77.98-73.75)/73.75*50</f>
        <v>97.132203389830508</v>
      </c>
      <c r="P3" s="107">
        <f>100-(100.93-77.93)/77.93*50</f>
        <v>85.243166944693954</v>
      </c>
      <c r="Q3" s="107">
        <f>100-(77.97-53)/53*50</f>
        <v>76.443396226415103</v>
      </c>
      <c r="R3" s="107">
        <f>100-(66.73-54.43)/54.43*50</f>
        <v>88.701083961050884</v>
      </c>
      <c r="S3" s="16">
        <f>100-(134-134)/134*50</f>
        <v>100</v>
      </c>
      <c r="T3" s="16">
        <f>100-(124.23-124.23)/124.23*50</f>
        <v>100</v>
      </c>
      <c r="U3" s="134">
        <f>SUM(D3:T3)-D3-P3-Q3-O3-R3</f>
        <v>1000.0000000000002</v>
      </c>
    </row>
    <row r="4" spans="1:23" x14ac:dyDescent="0.25">
      <c r="A4" s="133" t="s">
        <v>6</v>
      </c>
      <c r="B4" s="19" t="s">
        <v>44</v>
      </c>
      <c r="C4" s="19" t="s">
        <v>7</v>
      </c>
      <c r="D4" s="16">
        <f>100-(84.75-55.22)/55.22*50</f>
        <v>73.261499456718582</v>
      </c>
      <c r="E4" s="16">
        <f>100-(98.33-66.93)/66.93*50</f>
        <v>76.542656506798153</v>
      </c>
      <c r="F4" s="16">
        <f>100-(69.97-69.2)/69.2*50</f>
        <v>99.443641618497111</v>
      </c>
      <c r="G4" s="16"/>
      <c r="H4" s="16">
        <f>100-(65.68-40.98)/40.98*50</f>
        <v>69.863347974621746</v>
      </c>
      <c r="I4" s="16">
        <f>100-(33.37-19.52)/19.52*50</f>
        <v>64.523565573770497</v>
      </c>
      <c r="J4" s="16">
        <f>100-(127.18-86.62)/86.62*50</f>
        <v>76.587393211729392</v>
      </c>
      <c r="K4" s="16">
        <f>100-(39.38-37.6)/37.6*50</f>
        <v>97.63297872340425</v>
      </c>
      <c r="L4" s="16">
        <f>100-(57.87-55.88)/55.88*50</f>
        <v>98.219398711524704</v>
      </c>
      <c r="M4" s="16"/>
      <c r="N4" s="16"/>
      <c r="O4" s="16"/>
      <c r="P4" s="16"/>
      <c r="Q4" s="16">
        <f>100-(82.8-53)/53*50</f>
        <v>71.886792452830193</v>
      </c>
      <c r="R4" s="16">
        <f>100-(84.18-54.43)/54.43*50</f>
        <v>72.671320962704385</v>
      </c>
      <c r="S4" s="16"/>
      <c r="T4" s="16"/>
      <c r="U4" s="134">
        <f t="shared" ref="U4:U11" si="0">SUM(D4:T4)</f>
        <v>800.63259519259896</v>
      </c>
    </row>
    <row r="5" spans="1:23" x14ac:dyDescent="0.25">
      <c r="A5" s="133" t="s">
        <v>8</v>
      </c>
      <c r="B5" s="19" t="s">
        <v>33</v>
      </c>
      <c r="C5" s="19"/>
      <c r="D5" s="66"/>
      <c r="E5" s="16"/>
      <c r="F5" s="16"/>
      <c r="G5" s="16"/>
      <c r="H5" s="16">
        <f>100-(44.6-40.98)/40.98*50</f>
        <v>95.583211322596384</v>
      </c>
      <c r="I5" s="16">
        <f>100-(22.37-19.52)/19.52*50</f>
        <v>92.69979508196721</v>
      </c>
      <c r="J5" s="16">
        <f>100-(103.12-86.62)/86.62*50</f>
        <v>90.475640729623649</v>
      </c>
      <c r="K5" s="16"/>
      <c r="L5" s="16"/>
      <c r="M5" s="16"/>
      <c r="N5" s="16"/>
      <c r="O5" s="16">
        <f>100-(73.75-73.75)/73.75*50</f>
        <v>100</v>
      </c>
      <c r="P5" s="66"/>
      <c r="Q5" s="16">
        <f>100-(53-53)/53*50</f>
        <v>100</v>
      </c>
      <c r="R5" s="16">
        <f>100-(54.43-54.43)/54.43*50</f>
        <v>100</v>
      </c>
      <c r="S5" s="16"/>
      <c r="T5" s="16"/>
      <c r="U5" s="134">
        <f t="shared" si="0"/>
        <v>578.75864713418719</v>
      </c>
    </row>
    <row r="6" spans="1:23" x14ac:dyDescent="0.25">
      <c r="A6" s="133" t="s">
        <v>11</v>
      </c>
      <c r="B6" s="19" t="s">
        <v>81</v>
      </c>
      <c r="C6" s="19" t="s">
        <v>88</v>
      </c>
      <c r="D6" s="16">
        <f>100-(71.42-55.22)/55.22*50</f>
        <v>85.331401666063016</v>
      </c>
      <c r="E6" s="16"/>
      <c r="F6" s="16"/>
      <c r="G6" s="16"/>
      <c r="H6" s="16">
        <f>100-(74.25-40.98)/40.98*50</f>
        <v>59.407027818448015</v>
      </c>
      <c r="I6" s="16">
        <f>100-(38.48-19.52)/19.52*50</f>
        <v>51.434426229508205</v>
      </c>
      <c r="J6" s="16">
        <f>100-(149.82-86.62)/86.62*50</f>
        <v>63.51881782498269</v>
      </c>
      <c r="K6" s="16"/>
      <c r="L6" s="16"/>
      <c r="M6" s="16"/>
      <c r="N6" s="16"/>
      <c r="O6" s="16"/>
      <c r="P6" s="16"/>
      <c r="Q6" s="16">
        <f>100-(89-53)/53*50</f>
        <v>66.037735849056602</v>
      </c>
      <c r="R6" s="16">
        <f>100-(80.62-54.43)/54.43*50</f>
        <v>75.941576336579089</v>
      </c>
      <c r="S6" s="16"/>
      <c r="T6" s="16"/>
      <c r="U6" s="134">
        <f t="shared" si="0"/>
        <v>401.6709857246376</v>
      </c>
    </row>
    <row r="7" spans="1:23" x14ac:dyDescent="0.25">
      <c r="A7" s="133" t="s">
        <v>13</v>
      </c>
      <c r="B7" s="19" t="s">
        <v>67</v>
      </c>
      <c r="C7" s="19"/>
      <c r="D7" s="16">
        <f>100-(55.22-55.22)/55.22*50</f>
        <v>100</v>
      </c>
      <c r="E7" s="16">
        <f>100-(66.93-66.93)/66.93*50</f>
        <v>100</v>
      </c>
      <c r="F7" s="16"/>
      <c r="G7" s="16"/>
      <c r="H7" s="16">
        <f>100-(40.98-40.98)/40.98*50</f>
        <v>100</v>
      </c>
      <c r="I7" s="16">
        <f>100-(19.52-19.52)/19.52*50</f>
        <v>100</v>
      </c>
      <c r="J7" s="16"/>
      <c r="K7" s="16"/>
      <c r="L7" s="16"/>
      <c r="M7" s="16"/>
      <c r="N7" s="16"/>
      <c r="O7" s="16"/>
      <c r="P7" s="16"/>
      <c r="Q7" s="16"/>
      <c r="R7" s="66"/>
      <c r="S7" s="16"/>
      <c r="T7" s="16"/>
      <c r="U7" s="134">
        <f t="shared" si="0"/>
        <v>400</v>
      </c>
    </row>
    <row r="8" spans="1:23" x14ac:dyDescent="0.25">
      <c r="A8" s="133" t="s">
        <v>15</v>
      </c>
      <c r="B8" s="19" t="s">
        <v>135</v>
      </c>
      <c r="C8" s="19" t="s">
        <v>46</v>
      </c>
      <c r="D8" s="16"/>
      <c r="E8" s="16">
        <f>100-(114.27-66.93)/66.93*50</f>
        <v>64.634692962796962</v>
      </c>
      <c r="F8" s="16"/>
      <c r="G8" s="16"/>
      <c r="H8" s="16">
        <f>100-(62.48-40.98)/40.98*50</f>
        <v>73.767691556857002</v>
      </c>
      <c r="I8" s="66" t="s">
        <v>12</v>
      </c>
      <c r="J8" s="16">
        <f>100-(154.85-86.62)/86.62*50</f>
        <v>60.615331332255842</v>
      </c>
      <c r="K8" s="16"/>
      <c r="L8" s="16"/>
      <c r="M8" s="16"/>
      <c r="N8" s="16"/>
      <c r="O8" s="16"/>
      <c r="P8" s="16"/>
      <c r="Q8" s="16">
        <f>100-(72.67-53)/53*50</f>
        <v>81.443396226415089</v>
      </c>
      <c r="R8" s="16">
        <f>100-(71.73-54.43)/54.43*50</f>
        <v>84.10802866066507</v>
      </c>
      <c r="S8" s="16"/>
      <c r="T8" s="16"/>
      <c r="U8" s="134">
        <f t="shared" si="0"/>
        <v>364.56914073898997</v>
      </c>
    </row>
    <row r="9" spans="1:23" x14ac:dyDescent="0.25">
      <c r="A9" s="133" t="s">
        <v>17</v>
      </c>
      <c r="B9" s="19" t="s">
        <v>134</v>
      </c>
      <c r="C9" s="19"/>
      <c r="D9" s="19"/>
      <c r="E9" s="16"/>
      <c r="F9" s="28"/>
      <c r="G9" s="19"/>
      <c r="H9" s="16">
        <f>100-(41.02-40.98)/40.98*50</f>
        <v>99.951195705222048</v>
      </c>
      <c r="I9" s="16">
        <f>100-(22.85-19.52)/19.52*50</f>
        <v>91.470286885245898</v>
      </c>
      <c r="J9" s="16">
        <f>100-(86.62-86.62)/86.62*50</f>
        <v>100</v>
      </c>
      <c r="K9" s="16"/>
      <c r="L9" s="16"/>
      <c r="M9" s="16"/>
      <c r="N9" s="16"/>
      <c r="O9" s="16"/>
      <c r="P9" s="16"/>
      <c r="Q9" s="16"/>
      <c r="R9" s="16"/>
      <c r="S9" s="66"/>
      <c r="T9" s="66"/>
      <c r="U9" s="134">
        <f t="shared" si="0"/>
        <v>291.42148259046792</v>
      </c>
    </row>
    <row r="10" spans="1:23" x14ac:dyDescent="0.25">
      <c r="A10" s="133" t="s">
        <v>18</v>
      </c>
      <c r="B10" s="19" t="s">
        <v>74</v>
      </c>
      <c r="C10" s="19" t="s">
        <v>42</v>
      </c>
      <c r="D10" s="16">
        <f>100-(62.17-55.22)/55.22*50</f>
        <v>93.706990220934443</v>
      </c>
      <c r="E10" s="16">
        <f>100-(68.95-66.93)/66.93*50</f>
        <v>98.490960705214405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34">
        <f t="shared" si="0"/>
        <v>192.19795092614885</v>
      </c>
    </row>
    <row r="11" spans="1:23" x14ac:dyDescent="0.25">
      <c r="A11" s="133" t="s">
        <v>19</v>
      </c>
      <c r="B11" s="19" t="s">
        <v>182</v>
      </c>
      <c r="C11" s="19" t="s">
        <v>165</v>
      </c>
      <c r="D11" s="6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>100-(77.93-77.93)/77.93*50</f>
        <v>100</v>
      </c>
      <c r="Q11" s="66"/>
      <c r="R11" s="16"/>
      <c r="S11" s="16"/>
      <c r="T11" s="16"/>
      <c r="U11" s="134">
        <f t="shared" si="0"/>
        <v>100</v>
      </c>
    </row>
    <row r="12" spans="1:23" x14ac:dyDescent="0.25">
      <c r="A12" s="106" t="s">
        <v>159</v>
      </c>
      <c r="B12" s="106"/>
      <c r="C12" s="2"/>
      <c r="D12" s="2"/>
      <c r="E12" s="2"/>
      <c r="F12" s="3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s="39" customFormat="1" x14ac:dyDescent="0.25">
      <c r="A13" s="39" t="s">
        <v>26</v>
      </c>
    </row>
    <row r="14" spans="1:23" s="40" customFormat="1" x14ac:dyDescent="0.25">
      <c r="A14" s="40" t="s">
        <v>27</v>
      </c>
    </row>
  </sheetData>
  <sortState ref="B3:V11">
    <sortCondition descending="1" ref="U3"/>
  </sortState>
  <mergeCells count="1">
    <mergeCell ref="A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Férfi Elit</vt:lpstr>
      <vt:lpstr>Női Elit</vt:lpstr>
      <vt:lpstr>N14</vt:lpstr>
      <vt:lpstr>F14</vt:lpstr>
      <vt:lpstr>N15-17</vt:lpstr>
      <vt:lpstr>F15-17</vt:lpstr>
      <vt:lpstr>N18-20</vt:lpstr>
      <vt:lpstr>F18-20</vt:lpstr>
      <vt:lpstr>N21B</vt:lpstr>
      <vt:lpstr>F21B</vt:lpstr>
      <vt:lpstr>N40</vt:lpstr>
      <vt:lpstr>F40</vt:lpstr>
      <vt:lpstr>N50</vt:lpstr>
      <vt:lpstr>F50</vt:lpstr>
      <vt:lpstr>F50B</vt:lpstr>
      <vt:lpstr>N60</vt:lpstr>
      <vt:lpstr>F60</vt:lpstr>
      <vt:lpstr>F70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</dc:creator>
  <cp:lastModifiedBy>Tibor</cp:lastModifiedBy>
  <dcterms:created xsi:type="dcterms:W3CDTF">2015-10-05T14:47:48Z</dcterms:created>
  <dcterms:modified xsi:type="dcterms:W3CDTF">2020-10-20T08:58:20Z</dcterms:modified>
</cp:coreProperties>
</file>