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ERÉKPÁR\2015\MTBO\PONTVERSENY\"/>
    </mc:Choice>
  </mc:AlternateContent>
  <bookViews>
    <workbookView xWindow="0" yWindow="0" windowWidth="9270" windowHeight="7050" tabRatio="801"/>
  </bookViews>
  <sheets>
    <sheet name="Férfi Elit" sheetId="1" r:id="rId1"/>
    <sheet name="Női Elit" sheetId="2" r:id="rId2"/>
    <sheet name="N14" sheetId="3" r:id="rId3"/>
    <sheet name="F14" sheetId="4" r:id="rId4"/>
    <sheet name="N15-17" sheetId="5" r:id="rId5"/>
    <sheet name="F15-17" sheetId="6" r:id="rId6"/>
    <sheet name="N18-20" sheetId="7" r:id="rId7"/>
    <sheet name="F18-20" sheetId="8" r:id="rId8"/>
    <sheet name="N21B" sheetId="9" r:id="rId9"/>
    <sheet name="F21B" sheetId="10" r:id="rId10"/>
    <sheet name="N40" sheetId="11" r:id="rId11"/>
    <sheet name="F40" sheetId="12" r:id="rId12"/>
    <sheet name="N50" sheetId="13" r:id="rId13"/>
    <sheet name="F50" sheetId="14" r:id="rId14"/>
    <sheet name="F60" sheetId="1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3" l="1"/>
  <c r="R3" i="13"/>
  <c r="I3" i="11" l="1"/>
  <c r="E3" i="11" l="1"/>
  <c r="E5" i="11"/>
  <c r="D9" i="11"/>
  <c r="T9" i="11" s="1"/>
  <c r="D5" i="11"/>
  <c r="D3" i="11"/>
  <c r="T4" i="15" l="1"/>
  <c r="S4" i="15"/>
  <c r="R4" i="15"/>
  <c r="Q4" i="15"/>
  <c r="P4" i="15"/>
  <c r="O4" i="15"/>
  <c r="M4" i="15"/>
  <c r="L4" i="15"/>
  <c r="K4" i="15"/>
  <c r="J4" i="15"/>
  <c r="I4" i="15"/>
  <c r="H4" i="15"/>
  <c r="G4" i="15"/>
  <c r="F4" i="15"/>
  <c r="E4" i="15"/>
  <c r="D4" i="15"/>
  <c r="T3" i="9"/>
  <c r="T3" i="2"/>
  <c r="T6" i="10"/>
  <c r="T5" i="10"/>
  <c r="T3" i="10"/>
  <c r="T4" i="10"/>
  <c r="T8" i="1"/>
  <c r="T6" i="1"/>
  <c r="T7" i="1"/>
  <c r="T5" i="1"/>
  <c r="T4" i="1"/>
  <c r="T3" i="1"/>
  <c r="S6" i="9"/>
  <c r="T6" i="9" s="1"/>
  <c r="S4" i="9"/>
  <c r="S3" i="9"/>
  <c r="S10" i="11"/>
  <c r="S8" i="11"/>
  <c r="S4" i="11"/>
  <c r="T8" i="11"/>
  <c r="T10" i="11"/>
  <c r="S3" i="11"/>
  <c r="S8" i="10"/>
  <c r="S4" i="10"/>
  <c r="S5" i="10"/>
  <c r="S11" i="10"/>
  <c r="S3" i="10"/>
  <c r="S6" i="15"/>
  <c r="S5" i="15"/>
  <c r="S3" i="15"/>
  <c r="S14" i="14"/>
  <c r="T14" i="14" s="1"/>
  <c r="S10" i="14"/>
  <c r="S4" i="14"/>
  <c r="S3" i="14"/>
  <c r="S9" i="12"/>
  <c r="S6" i="12"/>
  <c r="S7" i="12"/>
  <c r="S3" i="12"/>
  <c r="S6" i="6"/>
  <c r="S5" i="6"/>
  <c r="S7" i="6"/>
  <c r="T7" i="6"/>
  <c r="S8" i="2"/>
  <c r="S5" i="2"/>
  <c r="S4" i="2"/>
  <c r="S3" i="2"/>
  <c r="T20" i="1"/>
  <c r="S12" i="1"/>
  <c r="S8" i="1"/>
  <c r="S6" i="1"/>
  <c r="S7" i="1"/>
  <c r="S4" i="1"/>
  <c r="S3" i="1"/>
  <c r="S5" i="1"/>
  <c r="R4" i="9"/>
  <c r="R3" i="9"/>
  <c r="R3" i="11"/>
  <c r="R4" i="11"/>
  <c r="R3" i="5"/>
  <c r="R11" i="10"/>
  <c r="R8" i="10"/>
  <c r="R6" i="10"/>
  <c r="R5" i="10"/>
  <c r="R4" i="10"/>
  <c r="T11" i="10"/>
  <c r="R3" i="10"/>
  <c r="R6" i="15"/>
  <c r="T6" i="15" s="1"/>
  <c r="R3" i="15"/>
  <c r="R10" i="14"/>
  <c r="T10" i="14" s="1"/>
  <c r="T15" i="14"/>
  <c r="R4" i="14"/>
  <c r="R3" i="14"/>
  <c r="R18" i="12"/>
  <c r="R11" i="12"/>
  <c r="R7" i="12"/>
  <c r="R6" i="12"/>
  <c r="R9" i="12"/>
  <c r="R4" i="12"/>
  <c r="T18" i="12"/>
  <c r="R3" i="12"/>
  <c r="T6" i="6"/>
  <c r="R6" i="6"/>
  <c r="R5" i="6"/>
  <c r="T5" i="6" s="1"/>
  <c r="R5" i="2"/>
  <c r="R4" i="2"/>
  <c r="R3" i="2"/>
  <c r="L8" i="15" l="1"/>
  <c r="T8" i="15" s="1"/>
  <c r="P7" i="15"/>
  <c r="T7" i="15" s="1"/>
  <c r="K5" i="15"/>
  <c r="E5" i="15"/>
  <c r="T5" i="15" s="1"/>
  <c r="M3" i="15"/>
  <c r="L3" i="15"/>
  <c r="K3" i="15"/>
  <c r="J3" i="15"/>
  <c r="G3" i="15"/>
  <c r="F3" i="15"/>
  <c r="D3" i="15"/>
  <c r="P12" i="14"/>
  <c r="T12" i="14" s="1"/>
  <c r="D13" i="14"/>
  <c r="T13" i="14" s="1"/>
  <c r="H11" i="14"/>
  <c r="T11" i="14" s="1"/>
  <c r="I9" i="14"/>
  <c r="H9" i="14"/>
  <c r="G9" i="14"/>
  <c r="T9" i="14" s="1"/>
  <c r="L8" i="14"/>
  <c r="K8" i="14"/>
  <c r="I8" i="14"/>
  <c r="H8" i="14"/>
  <c r="T8" i="14" s="1"/>
  <c r="M7" i="14"/>
  <c r="L7" i="14"/>
  <c r="G7" i="14"/>
  <c r="F7" i="14"/>
  <c r="T7" i="14" s="1"/>
  <c r="D7" i="14"/>
  <c r="M6" i="14"/>
  <c r="L6" i="14"/>
  <c r="K6" i="14"/>
  <c r="J6" i="14"/>
  <c r="E6" i="14"/>
  <c r="M5" i="14"/>
  <c r="K5" i="14"/>
  <c r="H5" i="14"/>
  <c r="G5" i="14"/>
  <c r="F5" i="14"/>
  <c r="E5" i="14"/>
  <c r="T5" i="14" s="1"/>
  <c r="D5" i="14"/>
  <c r="P4" i="14"/>
  <c r="N4" i="14"/>
  <c r="M4" i="14"/>
  <c r="L4" i="14"/>
  <c r="K4" i="14"/>
  <c r="G4" i="14"/>
  <c r="F4" i="14"/>
  <c r="E4" i="14"/>
  <c r="D4" i="14"/>
  <c r="T4" i="14" s="1"/>
  <c r="P3" i="14"/>
  <c r="O3" i="14"/>
  <c r="N3" i="14"/>
  <c r="M3" i="14"/>
  <c r="L3" i="14"/>
  <c r="K3" i="14"/>
  <c r="J3" i="14"/>
  <c r="I3" i="14"/>
  <c r="H3" i="14"/>
  <c r="G3" i="14"/>
  <c r="F3" i="14"/>
  <c r="E3" i="14"/>
  <c r="D3" i="14"/>
  <c r="K4" i="13"/>
  <c r="T4" i="13" s="1"/>
  <c r="M3" i="13"/>
  <c r="L3" i="13"/>
  <c r="K3" i="13"/>
  <c r="F3" i="13"/>
  <c r="T3" i="13" s="1"/>
  <c r="O19" i="12"/>
  <c r="T19" i="12" s="1"/>
  <c r="P17" i="12"/>
  <c r="T17" i="12" s="1"/>
  <c r="P16" i="12"/>
  <c r="T16" i="12" s="1"/>
  <c r="M15" i="12"/>
  <c r="T15" i="12" s="1"/>
  <c r="Q14" i="12"/>
  <c r="T14" i="12" s="1"/>
  <c r="M13" i="12"/>
  <c r="H13" i="12"/>
  <c r="E12" i="12"/>
  <c r="D12" i="12"/>
  <c r="I11" i="12"/>
  <c r="H11" i="12"/>
  <c r="J7" i="12"/>
  <c r="I7" i="12"/>
  <c r="H7" i="12"/>
  <c r="G7" i="12"/>
  <c r="O10" i="12"/>
  <c r="N10" i="12"/>
  <c r="K10" i="12"/>
  <c r="E10" i="12"/>
  <c r="Q6" i="12"/>
  <c r="P6" i="12"/>
  <c r="N6" i="12"/>
  <c r="E6" i="12"/>
  <c r="D6" i="12"/>
  <c r="Q9" i="12"/>
  <c r="P9" i="12"/>
  <c r="N9" i="12"/>
  <c r="I9" i="12"/>
  <c r="E9" i="12"/>
  <c r="D9" i="12"/>
  <c r="T9" i="12" s="1"/>
  <c r="M8" i="12"/>
  <c r="L8" i="12"/>
  <c r="K8" i="12"/>
  <c r="G8" i="12"/>
  <c r="F8" i="12"/>
  <c r="E8" i="12"/>
  <c r="D8" i="12"/>
  <c r="P5" i="12"/>
  <c r="M5" i="12"/>
  <c r="L5" i="12"/>
  <c r="K5" i="12"/>
  <c r="J5" i="12"/>
  <c r="I5" i="12"/>
  <c r="H5" i="12"/>
  <c r="T5" i="12" s="1"/>
  <c r="Q4" i="12"/>
  <c r="P4" i="12"/>
  <c r="O4" i="12"/>
  <c r="M4" i="12"/>
  <c r="L4" i="12"/>
  <c r="I4" i="12"/>
  <c r="F4" i="12"/>
  <c r="E4" i="12"/>
  <c r="D4" i="12"/>
  <c r="Q3" i="12"/>
  <c r="M3" i="12"/>
  <c r="L3" i="12"/>
  <c r="J3" i="12"/>
  <c r="I3" i="12"/>
  <c r="H3" i="12"/>
  <c r="D3" i="12"/>
  <c r="T3" i="12" s="1"/>
  <c r="H11" i="11"/>
  <c r="T11" i="11" s="1"/>
  <c r="H3" i="11"/>
  <c r="T3" i="11" s="1"/>
  <c r="M5" i="11"/>
  <c r="L5" i="11"/>
  <c r="M4" i="11"/>
  <c r="L4" i="11"/>
  <c r="I7" i="11"/>
  <c r="H7" i="11"/>
  <c r="L6" i="11"/>
  <c r="I6" i="11"/>
  <c r="H6" i="11"/>
  <c r="P18" i="10"/>
  <c r="T18" i="10" s="1"/>
  <c r="L17" i="10"/>
  <c r="T17" i="10" s="1"/>
  <c r="L16" i="10"/>
  <c r="T16" i="10" s="1"/>
  <c r="O15" i="10"/>
  <c r="T15" i="10" s="1"/>
  <c r="O14" i="10"/>
  <c r="T14" i="10" s="1"/>
  <c r="Q13" i="10"/>
  <c r="T13" i="10" s="1"/>
  <c r="E12" i="10"/>
  <c r="T12" i="10" s="1"/>
  <c r="L8" i="10"/>
  <c r="H8" i="10"/>
  <c r="T8" i="10" s="1"/>
  <c r="H10" i="10"/>
  <c r="E10" i="10"/>
  <c r="T10" i="10" s="1"/>
  <c r="D10" i="10"/>
  <c r="G9" i="10"/>
  <c r="F9" i="10"/>
  <c r="E9" i="10"/>
  <c r="D9" i="10"/>
  <c r="T9" i="10" s="1"/>
  <c r="O7" i="10"/>
  <c r="N7" i="10"/>
  <c r="M7" i="10"/>
  <c r="L7" i="10"/>
  <c r="I7" i="10"/>
  <c r="T7" i="10" s="1"/>
  <c r="O6" i="10"/>
  <c r="N6" i="10"/>
  <c r="M6" i="10"/>
  <c r="L6" i="10"/>
  <c r="K6" i="10"/>
  <c r="I6" i="10"/>
  <c r="G6" i="10"/>
  <c r="F6" i="10"/>
  <c r="Q5" i="10"/>
  <c r="P5" i="10"/>
  <c r="O5" i="10"/>
  <c r="N5" i="10"/>
  <c r="M5" i="10"/>
  <c r="L5" i="10"/>
  <c r="I5" i="10"/>
  <c r="Q3" i="10"/>
  <c r="P3" i="10"/>
  <c r="M3" i="10"/>
  <c r="L3" i="10"/>
  <c r="K3" i="10"/>
  <c r="J3" i="10"/>
  <c r="H3" i="10"/>
  <c r="Q4" i="10"/>
  <c r="P4" i="10"/>
  <c r="N4" i="10"/>
  <c r="K4" i="10"/>
  <c r="J4" i="10"/>
  <c r="I4" i="10"/>
  <c r="H4" i="10"/>
  <c r="G4" i="10"/>
  <c r="F4" i="10"/>
  <c r="E4" i="10"/>
  <c r="D4" i="10"/>
  <c r="M5" i="9"/>
  <c r="L5" i="9"/>
  <c r="K5" i="9"/>
  <c r="Q4" i="9"/>
  <c r="O4" i="9"/>
  <c r="N4" i="9"/>
  <c r="K4" i="9"/>
  <c r="Q3" i="9"/>
  <c r="O3" i="9"/>
  <c r="N3" i="9"/>
  <c r="M3" i="9"/>
  <c r="L3" i="9"/>
  <c r="D3" i="9"/>
  <c r="P9" i="8"/>
  <c r="T9" i="8" s="1"/>
  <c r="P8" i="8"/>
  <c r="T8" i="8" s="1"/>
  <c r="P7" i="8"/>
  <c r="T7" i="8" s="1"/>
  <c r="P6" i="8"/>
  <c r="T6" i="8" s="1"/>
  <c r="Q5" i="8"/>
  <c r="T5" i="8" s="1"/>
  <c r="P4" i="8"/>
  <c r="T4" i="8" s="1"/>
  <c r="I3" i="8"/>
  <c r="H3" i="8"/>
  <c r="T3" i="8" s="1"/>
  <c r="I3" i="7"/>
  <c r="H3" i="7"/>
  <c r="M8" i="6"/>
  <c r="T8" i="6" s="1"/>
  <c r="I4" i="6"/>
  <c r="H4" i="6"/>
  <c r="G4" i="6"/>
  <c r="T4" i="6" s="1"/>
  <c r="Q3" i="6"/>
  <c r="O3" i="6"/>
  <c r="N3" i="6"/>
  <c r="M3" i="6"/>
  <c r="L3" i="6"/>
  <c r="K3" i="6"/>
  <c r="J3" i="6"/>
  <c r="I3" i="6"/>
  <c r="H3" i="6"/>
  <c r="G3" i="6"/>
  <c r="F3" i="6"/>
  <c r="E3" i="6"/>
  <c r="D3" i="6"/>
  <c r="P6" i="5"/>
  <c r="T6" i="5" s="1"/>
  <c r="P5" i="5"/>
  <c r="T5" i="5" s="1"/>
  <c r="P4" i="5"/>
  <c r="T4" i="5" s="1"/>
  <c r="Q3" i="5"/>
  <c r="P3" i="5"/>
  <c r="M3" i="5"/>
  <c r="L3" i="5"/>
  <c r="I3" i="5"/>
  <c r="H3" i="5"/>
  <c r="G3" i="5"/>
  <c r="F3" i="5"/>
  <c r="D3" i="5"/>
  <c r="P4" i="4"/>
  <c r="T4" i="4" s="1"/>
  <c r="P3" i="4"/>
  <c r="T3" i="4" s="1"/>
  <c r="L4" i="3"/>
  <c r="T4" i="3" s="1"/>
  <c r="G3" i="3"/>
  <c r="F3" i="3"/>
  <c r="E3" i="3"/>
  <c r="D3" i="3"/>
  <c r="P10" i="2"/>
  <c r="T10" i="2" s="1"/>
  <c r="K9" i="2"/>
  <c r="T9" i="2" s="1"/>
  <c r="K8" i="2"/>
  <c r="E8" i="2"/>
  <c r="T8" i="2" s="1"/>
  <c r="H7" i="2"/>
  <c r="E7" i="2"/>
  <c r="T7" i="2" s="1"/>
  <c r="D7" i="2"/>
  <c r="J6" i="2"/>
  <c r="E6" i="2"/>
  <c r="D6" i="2"/>
  <c r="L5" i="2"/>
  <c r="K5" i="2"/>
  <c r="E5" i="2"/>
  <c r="D5" i="2"/>
  <c r="T5" i="2" s="1"/>
  <c r="Q4" i="2"/>
  <c r="P4" i="2"/>
  <c r="O4" i="2"/>
  <c r="N4" i="2"/>
  <c r="L4" i="2"/>
  <c r="Q3" i="2"/>
  <c r="P3" i="2"/>
  <c r="O3" i="2"/>
  <c r="N3" i="2"/>
  <c r="M3" i="2"/>
  <c r="L3" i="2"/>
  <c r="K3" i="2"/>
  <c r="I3" i="2"/>
  <c r="H3" i="2"/>
  <c r="G3" i="2"/>
  <c r="F3" i="2"/>
  <c r="E3" i="2"/>
  <c r="D3" i="2"/>
  <c r="T19" i="1"/>
  <c r="R19" i="1"/>
  <c r="T18" i="1"/>
  <c r="Q18" i="1"/>
  <c r="T17" i="1"/>
  <c r="P17" i="1"/>
  <c r="T16" i="1"/>
  <c r="K16" i="1"/>
  <c r="K15" i="1"/>
  <c r="D15" i="1"/>
  <c r="T15" i="1" s="1"/>
  <c r="M12" i="1"/>
  <c r="L12" i="1"/>
  <c r="K12" i="1"/>
  <c r="T12" i="1" s="1"/>
  <c r="P14" i="1"/>
  <c r="K14" i="1"/>
  <c r="E14" i="1"/>
  <c r="T14" i="1" s="1"/>
  <c r="K13" i="1"/>
  <c r="I13" i="1"/>
  <c r="H13" i="1"/>
  <c r="T13" i="1" s="1"/>
  <c r="M11" i="1"/>
  <c r="L11" i="1"/>
  <c r="E11" i="1"/>
  <c r="D11" i="1"/>
  <c r="T11" i="1" s="1"/>
  <c r="M10" i="1"/>
  <c r="L10" i="1"/>
  <c r="I10" i="1"/>
  <c r="H10" i="1"/>
  <c r="F10" i="1"/>
  <c r="E10" i="1"/>
  <c r="D10" i="1"/>
  <c r="T10" i="1" s="1"/>
  <c r="Q9" i="1"/>
  <c r="P9" i="1"/>
  <c r="I9" i="1"/>
  <c r="H9" i="1"/>
  <c r="G9" i="1"/>
  <c r="F9" i="1"/>
  <c r="T9" i="1" s="1"/>
  <c r="R8" i="1"/>
  <c r="M8" i="1"/>
  <c r="L8" i="1"/>
  <c r="K8" i="1"/>
  <c r="I8" i="1"/>
  <c r="H8" i="1"/>
  <c r="G8" i="1"/>
  <c r="F8" i="1"/>
  <c r="E8" i="1"/>
  <c r="D8" i="1"/>
  <c r="R6" i="1"/>
  <c r="Q6" i="1"/>
  <c r="P6" i="1"/>
  <c r="K6" i="1"/>
  <c r="I6" i="1"/>
  <c r="H6" i="1"/>
  <c r="E6" i="1"/>
  <c r="D6" i="1"/>
  <c r="O7" i="1"/>
  <c r="N7" i="1"/>
  <c r="M7" i="1"/>
  <c r="L7" i="1"/>
  <c r="K7" i="1"/>
  <c r="J7" i="1"/>
  <c r="I7" i="1"/>
  <c r="H7" i="1"/>
  <c r="R5" i="1"/>
  <c r="Q5" i="1"/>
  <c r="P5" i="1"/>
  <c r="O5" i="1"/>
  <c r="N5" i="1"/>
  <c r="I5" i="1"/>
  <c r="H5" i="1"/>
  <c r="E5" i="1"/>
  <c r="D5" i="1"/>
  <c r="R4" i="1"/>
  <c r="Q4" i="1"/>
  <c r="P4" i="1"/>
  <c r="O4" i="1"/>
  <c r="N4" i="1"/>
  <c r="M4" i="1"/>
  <c r="L4" i="1"/>
  <c r="K4" i="1"/>
  <c r="J4" i="1"/>
  <c r="I4" i="1"/>
  <c r="H4" i="1"/>
  <c r="G4" i="1"/>
  <c r="F4" i="1"/>
  <c r="R3" i="1"/>
  <c r="Q3" i="1"/>
  <c r="P3" i="1"/>
  <c r="O3" i="1"/>
  <c r="N3" i="1"/>
  <c r="M3" i="1"/>
  <c r="L3" i="1"/>
  <c r="K3" i="1"/>
  <c r="I3" i="1"/>
  <c r="H3" i="1"/>
  <c r="G3" i="1"/>
  <c r="F3" i="1"/>
  <c r="D3" i="1"/>
  <c r="T7" i="11" l="1"/>
  <c r="T4" i="11"/>
  <c r="T5" i="11"/>
  <c r="T3" i="15"/>
  <c r="T3" i="14"/>
  <c r="T6" i="14"/>
  <c r="T4" i="12"/>
  <c r="T8" i="12"/>
  <c r="T6" i="12"/>
  <c r="T10" i="12"/>
  <c r="T7" i="12"/>
  <c r="T11" i="12"/>
  <c r="T12" i="12"/>
  <c r="T13" i="12"/>
  <c r="T6" i="11"/>
  <c r="T4" i="9"/>
  <c r="T5" i="9"/>
  <c r="T3" i="7"/>
  <c r="T3" i="6"/>
  <c r="T3" i="5"/>
  <c r="T3" i="3"/>
  <c r="T4" i="2"/>
  <c r="T6" i="2"/>
</calcChain>
</file>

<file path=xl/sharedStrings.xml><?xml version="1.0" encoding="utf-8"?>
<sst xmlns="http://schemas.openxmlformats.org/spreadsheetml/2006/main" count="709" uniqueCount="175">
  <si>
    <t>Magyar Kupa 2015</t>
  </si>
  <si>
    <t>hely</t>
  </si>
  <si>
    <t>név</t>
  </si>
  <si>
    <t>klub</t>
  </si>
  <si>
    <t>Magyar kupa középtáv Balatonalmádi 04.11</t>
  </si>
  <si>
    <t>Magyar Pontbegyűjtő Bajnokság Balatonalmádi 04.12</t>
  </si>
  <si>
    <t>Osztrák Sprint Bajnokság, WRE, Magyar kupa Großmittel 04.25</t>
  </si>
  <si>
    <t>Osztrák Hosszútáv, WRE, Magyar kupa Großmittel 04.26</t>
  </si>
  <si>
    <t>Világkupa Hosszútáv, Magyar kupa Várgesztes 05.01</t>
  </si>
  <si>
    <t>Világkupa Középtáv, Magyar kupa Várgesztes 05.02</t>
  </si>
  <si>
    <t>Magyar kupa középtáv Herend 05.16</t>
  </si>
  <si>
    <t>Magyar Hosszútávú Bajnokság Herend 05.17</t>
  </si>
  <si>
    <t>Pannon MTBO Sprint Nagyvázsony 07.18</t>
  </si>
  <si>
    <t>Pannon MTBO Hosszútáv Nagyvázsony 07.19</t>
  </si>
  <si>
    <t>Monarchia Kupa Középtáv Pozsony-Krasnany 09.05</t>
  </si>
  <si>
    <t>Monarchia Kupa Pontbegyűjtő Pozsony-Krasnany 09.06</t>
  </si>
  <si>
    <t>Magyar Rövidtávú Bajnokság Miskolc 09.26</t>
  </si>
  <si>
    <t>Cica-Hard Pontbegyűjtő-Hibrid Miskolc 09.27</t>
  </si>
  <si>
    <t>Maccabi Kupa középtáv Abaliget 09.03</t>
  </si>
  <si>
    <t>Magyar Középtávú Bajnokság Abaliget 09.04</t>
  </si>
  <si>
    <t>Össz pont</t>
  </si>
  <si>
    <t>1.</t>
  </si>
  <si>
    <t>Rózsa László</t>
  </si>
  <si>
    <t>MSE</t>
  </si>
  <si>
    <t>2.</t>
  </si>
  <si>
    <t>Tóth Zoltán</t>
  </si>
  <si>
    <t>SAS</t>
  </si>
  <si>
    <t>3.</t>
  </si>
  <si>
    <t>Bedő Csaba</t>
  </si>
  <si>
    <t>BSC/VKE-Nelson</t>
  </si>
  <si>
    <t>4.</t>
  </si>
  <si>
    <t>Holluby András</t>
  </si>
  <si>
    <t>PSE</t>
  </si>
  <si>
    <t>"</t>
  </si>
  <si>
    <t>5.</t>
  </si>
  <si>
    <t>Beöthy Ádám</t>
  </si>
  <si>
    <t>KFK</t>
  </si>
  <si>
    <t>6.</t>
  </si>
  <si>
    <t>Tamás Tibor</t>
  </si>
  <si>
    <t>DTC/Freeriderz SC</t>
  </si>
  <si>
    <t>7.</t>
  </si>
  <si>
    <t>Kirilla Péter</t>
  </si>
  <si>
    <t>DTC</t>
  </si>
  <si>
    <t>8.</t>
  </si>
  <si>
    <t>Domán Rajmund</t>
  </si>
  <si>
    <t>THT</t>
  </si>
  <si>
    <t>9.</t>
  </si>
  <si>
    <t>Fekete Ágoston</t>
  </si>
  <si>
    <t>ZTC</t>
  </si>
  <si>
    <t>10.</t>
  </si>
  <si>
    <t>Vajda Zsolt</t>
  </si>
  <si>
    <t>11.</t>
  </si>
  <si>
    <t>Viraszkó Zoltán</t>
  </si>
  <si>
    <t>12.</t>
  </si>
  <si>
    <t>Máthé Tamás</t>
  </si>
  <si>
    <t>13.</t>
  </si>
  <si>
    <t>Bihari Zoltán</t>
  </si>
  <si>
    <t>14.</t>
  </si>
  <si>
    <t>Mesics Péter</t>
  </si>
  <si>
    <t>SMA</t>
  </si>
  <si>
    <t>15.</t>
  </si>
  <si>
    <t>Nyeste Ákos</t>
  </si>
  <si>
    <t>16.</t>
  </si>
  <si>
    <t>Kalotai Norbert</t>
  </si>
  <si>
    <t>Kemény-Puhányok</t>
  </si>
  <si>
    <t>17.</t>
  </si>
  <si>
    <t>Kiss Péter</t>
  </si>
  <si>
    <t>PAK</t>
  </si>
  <si>
    <t>Kieső pontok</t>
  </si>
  <si>
    <t>" részt vett a versenyen de vagy hibapontos, vagy már negatív pontszáma van</t>
  </si>
  <si>
    <t>Füzy Anna</t>
  </si>
  <si>
    <t>OSC</t>
  </si>
  <si>
    <t>Pénzes Erzsébet</t>
  </si>
  <si>
    <t>Kiss Vivien</t>
  </si>
  <si>
    <t>Kinde Vanda</t>
  </si>
  <si>
    <t>SPA</t>
  </si>
  <si>
    <t>Benke Noémi</t>
  </si>
  <si>
    <t>Tamás Bianka</t>
  </si>
  <si>
    <t>Marosffy Orsolya</t>
  </si>
  <si>
    <t>Váradi Szilvia</t>
  </si>
  <si>
    <t>Kinde Dalma</t>
  </si>
  <si>
    <t>Tóth-Almási Borbála</t>
  </si>
  <si>
    <t>Koleszár Martin</t>
  </si>
  <si>
    <t>Takács Gergely</t>
  </si>
  <si>
    <t>Magyar Kata</t>
  </si>
  <si>
    <t>Tóübis Anita</t>
  </si>
  <si>
    <t>Karczag Katinka</t>
  </si>
  <si>
    <t>Jordán Soma</t>
  </si>
  <si>
    <t>Mesics Mátyás</t>
  </si>
  <si>
    <t>Bácskai Péter</t>
  </si>
  <si>
    <t>VHS</t>
  </si>
  <si>
    <t>Kovács Eszter</t>
  </si>
  <si>
    <t>Makár Bence</t>
  </si>
  <si>
    <t>Göbler Balázs Benedek</t>
  </si>
  <si>
    <t>Magyar Milán</t>
  </si>
  <si>
    <t>Karczag Krisztina</t>
  </si>
  <si>
    <t>Horváth Adrienn</t>
  </si>
  <si>
    <t>MAF</t>
  </si>
  <si>
    <t>Vajda-Kovács Ágnes</t>
  </si>
  <si>
    <t>Kinde Zsófia</t>
  </si>
  <si>
    <t>HSP</t>
  </si>
  <si>
    <t>Vajda Péter</t>
  </si>
  <si>
    <t>Kárpáti Gábor</t>
  </si>
  <si>
    <t>Csordás Kornél</t>
  </si>
  <si>
    <t>REHAB</t>
  </si>
  <si>
    <t>Kinde Kálmán</t>
  </si>
  <si>
    <t>Lancsár Roland</t>
  </si>
  <si>
    <t>Kiss Zoltán</t>
  </si>
  <si>
    <t>RTF</t>
  </si>
  <si>
    <t>Lindenberger Béla</t>
  </si>
  <si>
    <t>EK</t>
  </si>
  <si>
    <t>Hidas Zoltán</t>
  </si>
  <si>
    <t>TTE</t>
  </si>
  <si>
    <t>Molnár Attila</t>
  </si>
  <si>
    <t>Dankó István</t>
  </si>
  <si>
    <t>Kovács Zoltán</t>
  </si>
  <si>
    <t>Zoboki Barna</t>
  </si>
  <si>
    <t>Szörényi Gábor</t>
  </si>
  <si>
    <t>Cseh Veronika Dr.</t>
  </si>
  <si>
    <t>Lendvai Katalin</t>
  </si>
  <si>
    <t>Németh Zsoltné</t>
  </si>
  <si>
    <t>Németh Ágnes dr.</t>
  </si>
  <si>
    <t>Németh Eszter</t>
  </si>
  <si>
    <t>Virág</t>
  </si>
  <si>
    <t>Pálfi Antal</t>
  </si>
  <si>
    <t>Nagy András</t>
  </si>
  <si>
    <t>Zoboki Mihály</t>
  </si>
  <si>
    <t xml:space="preserve">Dankó István </t>
  </si>
  <si>
    <t>Marosffy Dániel</t>
  </si>
  <si>
    <t>Egei Tamás</t>
  </si>
  <si>
    <t>Mörk Péter</t>
  </si>
  <si>
    <t>MAT</t>
  </si>
  <si>
    <t>Jankó Tamás</t>
  </si>
  <si>
    <t>HSE</t>
  </si>
  <si>
    <t>Fekete Zoltán</t>
  </si>
  <si>
    <t>ESP</t>
  </si>
  <si>
    <t>Koleszár János</t>
  </si>
  <si>
    <t>Maxim Mátyás</t>
  </si>
  <si>
    <t>Tömördi Ágnes</t>
  </si>
  <si>
    <t>Kármán Katalin</t>
  </si>
  <si>
    <t>Mets Miklós</t>
  </si>
  <si>
    <t>Domán Gábor</t>
  </si>
  <si>
    <t>Dosek Ágoston</t>
  </si>
  <si>
    <t>Németh Zsolt</t>
  </si>
  <si>
    <t>Vekerdy Zoltán</t>
  </si>
  <si>
    <t>BEA</t>
  </si>
  <si>
    <t>Szabó Tamás</t>
  </si>
  <si>
    <t>Weiler Zsolt</t>
  </si>
  <si>
    <t>Balázs Ottó</t>
  </si>
  <si>
    <t>Kovács József</t>
  </si>
  <si>
    <t>Bunyik László</t>
  </si>
  <si>
    <t>MEA</t>
  </si>
  <si>
    <t>Boros Zoltán</t>
  </si>
  <si>
    <t>Kardos Ferenc dr.</t>
  </si>
  <si>
    <t>Honfi Gábor</t>
  </si>
  <si>
    <t>Hidas Sándor</t>
  </si>
  <si>
    <t>Váczi Buda Benedek</t>
  </si>
  <si>
    <t>Váczi Samu Sebestyén</t>
  </si>
  <si>
    <t>Bajna Balázs</t>
  </si>
  <si>
    <t>E.K.</t>
  </si>
  <si>
    <t>ZST</t>
  </si>
  <si>
    <t>Arató Csongor</t>
  </si>
  <si>
    <t>Kelemen János</t>
  </si>
  <si>
    <t>POE</t>
  </si>
  <si>
    <t>Korbély Tibor</t>
  </si>
  <si>
    <t>HER</t>
  </si>
  <si>
    <t>Ember Ágoston dr.</t>
  </si>
  <si>
    <t>18.</t>
  </si>
  <si>
    <t>Egei Balázs</t>
  </si>
  <si>
    <t>Papp László</t>
  </si>
  <si>
    <t>Galambos Erika</t>
  </si>
  <si>
    <t>Cseresnyés Ágnes</t>
  </si>
  <si>
    <t>Kóger Kata</t>
  </si>
  <si>
    <t>PVM</t>
  </si>
  <si>
    <t>Krasznai Orsolya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</si>
</sst>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2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1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4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textRotation="180" wrapText="1"/>
    </xf>
    <xf numFmtId="0" fontId="2" fillId="0" borderId="9" xfId="0" applyFont="1" applyFill="1" applyBorder="1" applyAlignment="1">
      <alignment horizontal="center" vertical="center" textRotation="180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textRotation="180" wrapText="1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11" xfId="0" applyFont="1" applyFill="1" applyBorder="1"/>
    <xf numFmtId="0" fontId="0" fillId="0" borderId="12" xfId="0" applyFill="1" applyBorder="1"/>
    <xf numFmtId="0" fontId="0" fillId="0" borderId="13" xfId="0" applyFill="1" applyBorder="1"/>
    <xf numFmtId="2" fontId="0" fillId="0" borderId="14" xfId="0" applyNumberFormat="1" applyFill="1" applyBorder="1"/>
    <xf numFmtId="2" fontId="0" fillId="0" borderId="15" xfId="0" applyNumberFormat="1" applyFill="1" applyBorder="1"/>
    <xf numFmtId="2" fontId="0" fillId="2" borderId="10" xfId="0" applyNumberFormat="1" applyFill="1" applyBorder="1"/>
    <xf numFmtId="2" fontId="0" fillId="0" borderId="10" xfId="0" applyNumberFormat="1" applyFill="1" applyBorder="1"/>
    <xf numFmtId="2" fontId="0" fillId="2" borderId="16" xfId="0" applyNumberFormat="1" applyFill="1" applyBorder="1"/>
    <xf numFmtId="2" fontId="0" fillId="0" borderId="16" xfId="0" applyNumberFormat="1" applyFill="1" applyBorder="1"/>
    <xf numFmtId="2" fontId="3" fillId="0" borderId="11" xfId="0" applyNumberFormat="1" applyFont="1" applyFill="1" applyBorder="1"/>
    <xf numFmtId="0" fontId="0" fillId="0" borderId="10" xfId="0" applyFill="1" applyBorder="1"/>
    <xf numFmtId="0" fontId="3" fillId="0" borderId="17" xfId="0" applyFont="1" applyFill="1" applyBorder="1"/>
    <xf numFmtId="0" fontId="0" fillId="0" borderId="18" xfId="0" applyFill="1" applyBorder="1"/>
    <xf numFmtId="0" fontId="0" fillId="0" borderId="19" xfId="0" applyFill="1" applyBorder="1"/>
    <xf numFmtId="2" fontId="0" fillId="0" borderId="20" xfId="0" applyNumberFormat="1" applyFill="1" applyBorder="1"/>
    <xf numFmtId="2" fontId="3" fillId="0" borderId="17" xfId="0" applyNumberFormat="1" applyFont="1" applyFill="1" applyBorder="1"/>
    <xf numFmtId="2" fontId="0" fillId="0" borderId="21" xfId="0" applyNumberFormat="1" applyFill="1" applyBorder="1"/>
    <xf numFmtId="2" fontId="5" fillId="0" borderId="16" xfId="0" applyNumberFormat="1" applyFont="1" applyFill="1" applyBorder="1"/>
    <xf numFmtId="2" fontId="0" fillId="0" borderId="22" xfId="0" applyNumberFormat="1" applyFill="1" applyBorder="1"/>
    <xf numFmtId="0" fontId="3" fillId="0" borderId="16" xfId="0" applyFont="1" applyFill="1" applyBorder="1" applyAlignment="1">
      <alignment horizontal="right"/>
    </xf>
    <xf numFmtId="2" fontId="0" fillId="0" borderId="16" xfId="0" applyNumberFormat="1" applyFill="1" applyBorder="1" applyAlignment="1">
      <alignment horizontal="center"/>
    </xf>
    <xf numFmtId="2" fontId="0" fillId="0" borderId="18" xfId="0" applyNumberFormat="1" applyFill="1" applyBorder="1"/>
    <xf numFmtId="0" fontId="0" fillId="0" borderId="24" xfId="0" applyFill="1" applyBorder="1"/>
    <xf numFmtId="0" fontId="0" fillId="0" borderId="21" xfId="0" applyFill="1" applyBorder="1"/>
    <xf numFmtId="0" fontId="0" fillId="0" borderId="16" xfId="0" applyFill="1" applyBorder="1"/>
    <xf numFmtId="2" fontId="0" fillId="0" borderId="25" xfId="0" applyNumberFormat="1" applyFill="1" applyBorder="1"/>
    <xf numFmtId="2" fontId="5" fillId="0" borderId="10" xfId="0" applyNumberFormat="1" applyFont="1" applyFill="1" applyBorder="1"/>
    <xf numFmtId="2" fontId="5" fillId="0" borderId="26" xfId="0" applyNumberFormat="1" applyFont="1" applyFill="1" applyBorder="1"/>
    <xf numFmtId="0" fontId="0" fillId="0" borderId="26" xfId="0" applyFill="1" applyBorder="1"/>
    <xf numFmtId="2" fontId="0" fillId="0" borderId="26" xfId="0" applyNumberFormat="1" applyFill="1" applyBorder="1"/>
    <xf numFmtId="0" fontId="3" fillId="0" borderId="10" xfId="0" applyFont="1" applyFill="1" applyBorder="1" applyAlignment="1">
      <alignment horizontal="right"/>
    </xf>
    <xf numFmtId="0" fontId="5" fillId="0" borderId="10" xfId="0" applyFont="1" applyFill="1" applyBorder="1"/>
    <xf numFmtId="0" fontId="3" fillId="0" borderId="27" xfId="0" applyFont="1" applyFill="1" applyBorder="1"/>
    <xf numFmtId="0" fontId="0" fillId="0" borderId="28" xfId="0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0" fillId="0" borderId="31" xfId="0" applyNumberFormat="1" applyFill="1" applyBorder="1"/>
    <xf numFmtId="2" fontId="5" fillId="0" borderId="31" xfId="0" applyNumberFormat="1" applyFont="1" applyFill="1" applyBorder="1"/>
    <xf numFmtId="0" fontId="3" fillId="0" borderId="31" xfId="0" applyFont="1" applyFill="1" applyBorder="1" applyAlignment="1">
      <alignment horizontal="right"/>
    </xf>
    <xf numFmtId="2" fontId="0" fillId="0" borderId="32" xfId="0" applyNumberFormat="1" applyFill="1" applyBorder="1"/>
    <xf numFmtId="2" fontId="0" fillId="0" borderId="33" xfId="0" applyNumberFormat="1" applyFill="1" applyBorder="1"/>
    <xf numFmtId="2" fontId="3" fillId="0" borderId="27" xfId="0" applyNumberFormat="1" applyFont="1" applyFill="1" applyBorder="1"/>
    <xf numFmtId="2" fontId="0" fillId="0" borderId="0" xfId="0" applyNumberFormat="1" applyFill="1" applyBorder="1"/>
    <xf numFmtId="2" fontId="5" fillId="0" borderId="0" xfId="0" applyNumberFormat="1" applyFont="1" applyFill="1" applyBorder="1"/>
    <xf numFmtId="2" fontId="0" fillId="0" borderId="0" xfId="0" applyNumberFormat="1" applyFill="1" applyBorder="1" applyAlignment="1">
      <alignment horizontal="right"/>
    </xf>
    <xf numFmtId="2" fontId="3" fillId="0" borderId="0" xfId="0" applyNumberFormat="1" applyFont="1" applyFill="1" applyBorder="1"/>
    <xf numFmtId="0" fontId="5" fillId="0" borderId="0" xfId="0" applyFont="1" applyFill="1" applyBorder="1"/>
    <xf numFmtId="0" fontId="3" fillId="3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/>
    <xf numFmtId="0" fontId="2" fillId="0" borderId="9" xfId="0" applyFont="1" applyFill="1" applyBorder="1" applyAlignment="1">
      <alignment vertical="center" wrapText="1"/>
    </xf>
    <xf numFmtId="0" fontId="3" fillId="0" borderId="12" xfId="0" applyFont="1" applyFill="1" applyBorder="1"/>
    <xf numFmtId="0" fontId="0" fillId="0" borderId="15" xfId="0" applyFill="1" applyBorder="1"/>
    <xf numFmtId="2" fontId="0" fillId="2" borderId="15" xfId="0" applyNumberFormat="1" applyFill="1" applyBorder="1"/>
    <xf numFmtId="0" fontId="3" fillId="0" borderId="18" xfId="0" applyFont="1" applyFill="1" applyBorder="1"/>
    <xf numFmtId="0" fontId="0" fillId="0" borderId="20" xfId="0" applyFill="1" applyBorder="1"/>
    <xf numFmtId="0" fontId="0" fillId="0" borderId="23" xfId="0" applyFill="1" applyBorder="1"/>
    <xf numFmtId="0" fontId="3" fillId="0" borderId="20" xfId="0" applyFont="1" applyFill="1" applyBorder="1" applyAlignment="1">
      <alignment horizontal="right"/>
    </xf>
    <xf numFmtId="0" fontId="3" fillId="0" borderId="28" xfId="0" applyFont="1" applyFill="1" applyBorder="1"/>
    <xf numFmtId="0" fontId="0" fillId="0" borderId="30" xfId="0" applyFill="1" applyBorder="1"/>
    <xf numFmtId="0" fontId="0" fillId="0" borderId="33" xfId="0" applyFill="1" applyBorder="1"/>
    <xf numFmtId="0" fontId="0" fillId="0" borderId="31" xfId="0" applyFill="1" applyBorder="1"/>
    <xf numFmtId="2" fontId="5" fillId="0" borderId="0" xfId="0" applyNumberFormat="1" applyFont="1" applyFill="1" applyBorder="1" applyAlignment="1">
      <alignment horizontal="right"/>
    </xf>
    <xf numFmtId="0" fontId="0" fillId="0" borderId="34" xfId="0" applyFill="1" applyBorder="1"/>
    <xf numFmtId="0" fontId="0" fillId="0" borderId="4" xfId="0" applyFill="1" applyBorder="1"/>
    <xf numFmtId="2" fontId="0" fillId="0" borderId="4" xfId="0" applyNumberFormat="1" applyFill="1" applyBorder="1"/>
    <xf numFmtId="2" fontId="5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right"/>
    </xf>
    <xf numFmtId="2" fontId="0" fillId="0" borderId="36" xfId="0" applyNumberFormat="1" applyFill="1" applyBorder="1"/>
    <xf numFmtId="2" fontId="3" fillId="0" borderId="35" xfId="0" applyNumberFormat="1" applyFont="1" applyFill="1" applyBorder="1"/>
    <xf numFmtId="0" fontId="0" fillId="0" borderId="10" xfId="0" applyFill="1" applyBorder="1" applyAlignment="1">
      <alignment horizontal="center"/>
    </xf>
    <xf numFmtId="0" fontId="0" fillId="0" borderId="37" xfId="0" applyFill="1" applyBorder="1"/>
    <xf numFmtId="0" fontId="5" fillId="0" borderId="20" xfId="0" applyFont="1" applyFill="1" applyBorder="1"/>
    <xf numFmtId="0" fontId="5" fillId="0" borderId="30" xfId="0" applyFont="1" applyFill="1" applyBorder="1"/>
    <xf numFmtId="0" fontId="5" fillId="0" borderId="31" xfId="0" applyFont="1" applyFill="1" applyBorder="1"/>
    <xf numFmtId="0" fontId="3" fillId="0" borderId="33" xfId="0" applyFont="1" applyFill="1" applyBorder="1" applyAlignment="1">
      <alignment horizontal="right"/>
    </xf>
    <xf numFmtId="0" fontId="0" fillId="0" borderId="38" xfId="0" applyFill="1" applyBorder="1"/>
    <xf numFmtId="0" fontId="0" fillId="0" borderId="0" xfId="0" applyFill="1" applyBorder="1" applyAlignment="1">
      <alignment horizontal="right"/>
    </xf>
    <xf numFmtId="2" fontId="0" fillId="0" borderId="39" xfId="0" applyNumberFormat="1" applyFill="1" applyBorder="1"/>
    <xf numFmtId="2" fontId="0" fillId="0" borderId="37" xfId="0" applyNumberFormat="1" applyFill="1" applyBorder="1"/>
    <xf numFmtId="0" fontId="0" fillId="0" borderId="22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40" xfId="0" applyFont="1" applyFill="1" applyBorder="1"/>
    <xf numFmtId="0" fontId="3" fillId="0" borderId="15" xfId="0" applyFont="1" applyFill="1" applyBorder="1" applyAlignment="1">
      <alignment horizontal="right"/>
    </xf>
    <xf numFmtId="2" fontId="0" fillId="0" borderId="26" xfId="0" applyNumberFormat="1" applyFont="1" applyFill="1" applyBorder="1"/>
    <xf numFmtId="2" fontId="0" fillId="0" borderId="10" xfId="0" applyNumberFormat="1" applyFill="1" applyBorder="1" applyAlignment="1">
      <alignment horizontal="right"/>
    </xf>
    <xf numFmtId="2" fontId="0" fillId="0" borderId="19" xfId="0" applyNumberFormat="1" applyFill="1" applyBorder="1"/>
    <xf numFmtId="0" fontId="3" fillId="0" borderId="22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0" fontId="3" fillId="0" borderId="21" xfId="0" applyFont="1" applyFill="1" applyBorder="1"/>
    <xf numFmtId="0" fontId="3" fillId="0" borderId="41" xfId="0" applyFont="1" applyFill="1" applyBorder="1"/>
    <xf numFmtId="0" fontId="2" fillId="0" borderId="42" xfId="0" applyFont="1" applyFill="1" applyBorder="1" applyAlignment="1">
      <alignment vertical="center" wrapText="1"/>
    </xf>
    <xf numFmtId="0" fontId="0" fillId="0" borderId="0" xfId="0" applyFont="1" applyFill="1" applyBorder="1"/>
    <xf numFmtId="2" fontId="0" fillId="0" borderId="12" xfId="0" applyNumberFormat="1" applyFill="1" applyBorder="1"/>
    <xf numFmtId="2" fontId="5" fillId="0" borderId="15" xfId="0" applyNumberFormat="1" applyFont="1" applyFill="1" applyBorder="1"/>
    <xf numFmtId="2" fontId="0" fillId="0" borderId="13" xfId="0" applyNumberFormat="1" applyFill="1" applyBorder="1"/>
    <xf numFmtId="0" fontId="0" fillId="0" borderId="44" xfId="0" applyFill="1" applyBorder="1"/>
    <xf numFmtId="0" fontId="0" fillId="0" borderId="45" xfId="0" applyFill="1" applyBorder="1"/>
    <xf numFmtId="2" fontId="0" fillId="0" borderId="44" xfId="0" applyNumberFormat="1" applyFill="1" applyBorder="1"/>
    <xf numFmtId="2" fontId="0" fillId="0" borderId="46" xfId="0" applyNumberFormat="1" applyFill="1" applyBorder="1"/>
    <xf numFmtId="2" fontId="5" fillId="0" borderId="32" xfId="0" applyNumberFormat="1" applyFont="1" applyFill="1" applyBorder="1"/>
    <xf numFmtId="2" fontId="0" fillId="0" borderId="45" xfId="0" applyNumberFormat="1" applyFill="1" applyBorder="1"/>
    <xf numFmtId="0" fontId="3" fillId="0" borderId="14" xfId="0" applyFont="1" applyFill="1" applyBorder="1" applyAlignment="1">
      <alignment horizontal="right"/>
    </xf>
    <xf numFmtId="2" fontId="3" fillId="0" borderId="47" xfId="0" applyNumberFormat="1" applyFont="1" applyFill="1" applyBorder="1"/>
    <xf numFmtId="2" fontId="0" fillId="0" borderId="20" xfId="0" applyNumberFormat="1" applyFill="1" applyBorder="1" applyAlignment="1">
      <alignment horizontal="center"/>
    </xf>
    <xf numFmtId="2" fontId="0" fillId="2" borderId="20" xfId="0" applyNumberFormat="1" applyFill="1" applyBorder="1"/>
    <xf numFmtId="2" fontId="0" fillId="2" borderId="15" xfId="0" applyNumberFormat="1" applyFill="1" applyBorder="1" applyAlignment="1">
      <alignment horizontal="center"/>
    </xf>
    <xf numFmtId="2" fontId="0" fillId="0" borderId="43" xfId="0" applyNumberFormat="1" applyFill="1" applyBorder="1"/>
    <xf numFmtId="2" fontId="5" fillId="0" borderId="20" xfId="0" applyNumberFormat="1" applyFont="1" applyFill="1" applyBorder="1"/>
    <xf numFmtId="0" fontId="0" fillId="0" borderId="48" xfId="0" applyFill="1" applyBorder="1"/>
    <xf numFmtId="0" fontId="0" fillId="0" borderId="49" xfId="0" applyFill="1" applyBorder="1"/>
    <xf numFmtId="0" fontId="0" fillId="0" borderId="50" xfId="0" applyFill="1" applyBorder="1"/>
    <xf numFmtId="0" fontId="0" fillId="0" borderId="51" xfId="0" applyFill="1" applyBorder="1"/>
    <xf numFmtId="2" fontId="0" fillId="0" borderId="23" xfId="0" applyNumberFormat="1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54" xfId="0" applyFill="1" applyBorder="1"/>
    <xf numFmtId="2" fontId="5" fillId="0" borderId="37" xfId="0" applyNumberFormat="1" applyFont="1" applyFill="1" applyBorder="1"/>
    <xf numFmtId="2" fontId="0" fillId="0" borderId="37" xfId="0" applyNumberFormat="1" applyFill="1" applyBorder="1" applyAlignment="1">
      <alignment horizontal="center"/>
    </xf>
    <xf numFmtId="0" fontId="0" fillId="0" borderId="32" xfId="0" applyFill="1" applyBorder="1"/>
    <xf numFmtId="2" fontId="0" fillId="2" borderId="10" xfId="0" applyNumberFormat="1" applyFill="1" applyBorder="1" applyAlignment="1">
      <alignment horizontal="center"/>
    </xf>
    <xf numFmtId="2" fontId="0" fillId="2" borderId="26" xfId="0" applyNumberFormat="1" applyFill="1" applyBorder="1"/>
    <xf numFmtId="0" fontId="0" fillId="2" borderId="1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0" xfId="0" applyFont="1" applyFill="1" applyBorder="1"/>
    <xf numFmtId="2" fontId="0" fillId="0" borderId="10" xfId="0" applyNumberFormat="1" applyFill="1" applyBorder="1" applyAlignment="1">
      <alignment horizontal="center"/>
    </xf>
    <xf numFmtId="2" fontId="0" fillId="2" borderId="14" xfId="0" applyNumberFormat="1" applyFill="1" applyBorder="1"/>
    <xf numFmtId="2" fontId="4" fillId="2" borderId="14" xfId="0" applyNumberFormat="1" applyFont="1" applyFill="1" applyBorder="1"/>
    <xf numFmtId="2" fontId="0" fillId="0" borderId="46" xfId="0" applyNumberFormat="1" applyFill="1" applyBorder="1" applyAlignment="1">
      <alignment horizontal="center"/>
    </xf>
    <xf numFmtId="2" fontId="0" fillId="0" borderId="24" xfId="0" applyNumberFormat="1" applyFill="1" applyBorder="1"/>
    <xf numFmtId="2" fontId="0" fillId="2" borderId="22" xfId="0" applyNumberFormat="1" applyFill="1" applyBorder="1"/>
    <xf numFmtId="2" fontId="0" fillId="2" borderId="18" xfId="0" applyNumberFormat="1" applyFill="1" applyBorder="1"/>
    <xf numFmtId="2" fontId="0" fillId="0" borderId="22" xfId="0" applyNumberForma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textRotation="180" wrapText="1"/>
    </xf>
    <xf numFmtId="2" fontId="0" fillId="2" borderId="43" xfId="0" applyNumberFormat="1" applyFill="1" applyBorder="1"/>
    <xf numFmtId="0" fontId="0" fillId="0" borderId="31" xfId="0" applyFill="1" applyBorder="1" applyAlignment="1">
      <alignment horizontal="center"/>
    </xf>
    <xf numFmtId="2" fontId="3" fillId="0" borderId="55" xfId="0" applyNumberFormat="1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0" fontId="3" fillId="0" borderId="1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3" fillId="0" borderId="9" xfId="0" applyFont="1" applyFill="1" applyBorder="1" applyAlignment="1">
      <alignment horizontal="right"/>
    </xf>
    <xf numFmtId="2" fontId="0" fillId="0" borderId="9" xfId="0" applyNumberFormat="1" applyFill="1" applyBorder="1"/>
    <xf numFmtId="0" fontId="0" fillId="0" borderId="9" xfId="0" applyFill="1" applyBorder="1"/>
    <xf numFmtId="0" fontId="0" fillId="0" borderId="9" xfId="0" applyFont="1" applyFill="1" applyBorder="1"/>
    <xf numFmtId="0" fontId="0" fillId="0" borderId="56" xfId="0" applyFill="1" applyBorder="1"/>
    <xf numFmtId="2" fontId="3" fillId="0" borderId="5" xfId="0" applyNumberFormat="1" applyFont="1" applyFill="1" applyBorder="1"/>
    <xf numFmtId="2" fontId="0" fillId="2" borderId="20" xfId="0" applyNumberFormat="1" applyFill="1" applyBorder="1" applyAlignment="1">
      <alignment horizontal="center"/>
    </xf>
    <xf numFmtId="2" fontId="0" fillId="0" borderId="51" xfId="0" applyNumberFormat="1" applyFill="1" applyBorder="1"/>
    <xf numFmtId="0" fontId="0" fillId="0" borderId="14" xfId="0" applyFill="1" applyBorder="1"/>
    <xf numFmtId="2" fontId="5" fillId="0" borderId="30" xfId="0" applyNumberFormat="1" applyFont="1" applyFill="1" applyBorder="1"/>
    <xf numFmtId="2" fontId="0" fillId="0" borderId="22" xfId="0" applyNumberFormat="1" applyFill="1" applyBorder="1" applyAlignment="1">
      <alignment horizontal="right"/>
    </xf>
    <xf numFmtId="0" fontId="0" fillId="0" borderId="57" xfId="0" applyFill="1" applyBorder="1" applyAlignment="1">
      <alignment horizontal="center"/>
    </xf>
    <xf numFmtId="2" fontId="0" fillId="2" borderId="13" xfId="0" applyNumberForma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workbookViewId="0">
      <selection activeCell="M27" sqref="M27"/>
    </sheetView>
  </sheetViews>
  <sheetFormatPr defaultColWidth="9" defaultRowHeight="15" x14ac:dyDescent="0.25"/>
  <cols>
    <col min="1" max="1" width="5.28515625" style="3" customWidth="1"/>
    <col min="2" max="2" width="16.28515625" style="3" customWidth="1"/>
    <col min="3" max="3" width="17.85546875" style="3" customWidth="1"/>
    <col min="4" max="5" width="9.140625" style="3" customWidth="1"/>
    <col min="6" max="6" width="9.140625" style="62" customWidth="1"/>
    <col min="7" max="20" width="9.140625" style="3" customWidth="1"/>
    <col min="21" max="35" width="9" style="2"/>
    <col min="36" max="256" width="9" style="3"/>
    <col min="257" max="257" width="5.28515625" style="3" customWidth="1"/>
    <col min="258" max="258" width="21.5703125" style="3" customWidth="1"/>
    <col min="259" max="259" width="17.85546875" style="3" customWidth="1"/>
    <col min="260" max="276" width="9.140625" style="3" customWidth="1"/>
    <col min="277" max="512" width="9" style="3"/>
    <col min="513" max="513" width="5.28515625" style="3" customWidth="1"/>
    <col min="514" max="514" width="21.5703125" style="3" customWidth="1"/>
    <col min="515" max="515" width="17.85546875" style="3" customWidth="1"/>
    <col min="516" max="532" width="9.140625" style="3" customWidth="1"/>
    <col min="533" max="768" width="9" style="3"/>
    <col min="769" max="769" width="5.28515625" style="3" customWidth="1"/>
    <col min="770" max="770" width="21.5703125" style="3" customWidth="1"/>
    <col min="771" max="771" width="17.85546875" style="3" customWidth="1"/>
    <col min="772" max="788" width="9.140625" style="3" customWidth="1"/>
    <col min="789" max="1024" width="9" style="3"/>
    <col min="1025" max="1025" width="5.28515625" style="3" customWidth="1"/>
    <col min="1026" max="1026" width="21.5703125" style="3" customWidth="1"/>
    <col min="1027" max="1027" width="17.85546875" style="3" customWidth="1"/>
    <col min="1028" max="1044" width="9.140625" style="3" customWidth="1"/>
    <col min="1045" max="1280" width="9" style="3"/>
    <col min="1281" max="1281" width="5.28515625" style="3" customWidth="1"/>
    <col min="1282" max="1282" width="21.5703125" style="3" customWidth="1"/>
    <col min="1283" max="1283" width="17.85546875" style="3" customWidth="1"/>
    <col min="1284" max="1300" width="9.140625" style="3" customWidth="1"/>
    <col min="1301" max="1536" width="9" style="3"/>
    <col min="1537" max="1537" width="5.28515625" style="3" customWidth="1"/>
    <col min="1538" max="1538" width="21.5703125" style="3" customWidth="1"/>
    <col min="1539" max="1539" width="17.85546875" style="3" customWidth="1"/>
    <col min="1540" max="1556" width="9.140625" style="3" customWidth="1"/>
    <col min="1557" max="1792" width="9" style="3"/>
    <col min="1793" max="1793" width="5.28515625" style="3" customWidth="1"/>
    <col min="1794" max="1794" width="21.5703125" style="3" customWidth="1"/>
    <col min="1795" max="1795" width="17.85546875" style="3" customWidth="1"/>
    <col min="1796" max="1812" width="9.140625" style="3" customWidth="1"/>
    <col min="1813" max="2048" width="9" style="3"/>
    <col min="2049" max="2049" width="5.28515625" style="3" customWidth="1"/>
    <col min="2050" max="2050" width="21.5703125" style="3" customWidth="1"/>
    <col min="2051" max="2051" width="17.85546875" style="3" customWidth="1"/>
    <col min="2052" max="2068" width="9.140625" style="3" customWidth="1"/>
    <col min="2069" max="2304" width="9" style="3"/>
    <col min="2305" max="2305" width="5.28515625" style="3" customWidth="1"/>
    <col min="2306" max="2306" width="21.5703125" style="3" customWidth="1"/>
    <col min="2307" max="2307" width="17.85546875" style="3" customWidth="1"/>
    <col min="2308" max="2324" width="9.140625" style="3" customWidth="1"/>
    <col min="2325" max="2560" width="9" style="3"/>
    <col min="2561" max="2561" width="5.28515625" style="3" customWidth="1"/>
    <col min="2562" max="2562" width="21.5703125" style="3" customWidth="1"/>
    <col min="2563" max="2563" width="17.85546875" style="3" customWidth="1"/>
    <col min="2564" max="2580" width="9.140625" style="3" customWidth="1"/>
    <col min="2581" max="2816" width="9" style="3"/>
    <col min="2817" max="2817" width="5.28515625" style="3" customWidth="1"/>
    <col min="2818" max="2818" width="21.5703125" style="3" customWidth="1"/>
    <col min="2819" max="2819" width="17.85546875" style="3" customWidth="1"/>
    <col min="2820" max="2836" width="9.140625" style="3" customWidth="1"/>
    <col min="2837" max="3072" width="9" style="3"/>
    <col min="3073" max="3073" width="5.28515625" style="3" customWidth="1"/>
    <col min="3074" max="3074" width="21.5703125" style="3" customWidth="1"/>
    <col min="3075" max="3075" width="17.85546875" style="3" customWidth="1"/>
    <col min="3076" max="3092" width="9.140625" style="3" customWidth="1"/>
    <col min="3093" max="3328" width="9" style="3"/>
    <col min="3329" max="3329" width="5.28515625" style="3" customWidth="1"/>
    <col min="3330" max="3330" width="21.5703125" style="3" customWidth="1"/>
    <col min="3331" max="3331" width="17.85546875" style="3" customWidth="1"/>
    <col min="3332" max="3348" width="9.140625" style="3" customWidth="1"/>
    <col min="3349" max="3584" width="9" style="3"/>
    <col min="3585" max="3585" width="5.28515625" style="3" customWidth="1"/>
    <col min="3586" max="3586" width="21.5703125" style="3" customWidth="1"/>
    <col min="3587" max="3587" width="17.85546875" style="3" customWidth="1"/>
    <col min="3588" max="3604" width="9.140625" style="3" customWidth="1"/>
    <col min="3605" max="3840" width="9" style="3"/>
    <col min="3841" max="3841" width="5.28515625" style="3" customWidth="1"/>
    <col min="3842" max="3842" width="21.5703125" style="3" customWidth="1"/>
    <col min="3843" max="3843" width="17.85546875" style="3" customWidth="1"/>
    <col min="3844" max="3860" width="9.140625" style="3" customWidth="1"/>
    <col min="3861" max="4096" width="9" style="3"/>
    <col min="4097" max="4097" width="5.28515625" style="3" customWidth="1"/>
    <col min="4098" max="4098" width="21.5703125" style="3" customWidth="1"/>
    <col min="4099" max="4099" width="17.85546875" style="3" customWidth="1"/>
    <col min="4100" max="4116" width="9.140625" style="3" customWidth="1"/>
    <col min="4117" max="4352" width="9" style="3"/>
    <col min="4353" max="4353" width="5.28515625" style="3" customWidth="1"/>
    <col min="4354" max="4354" width="21.5703125" style="3" customWidth="1"/>
    <col min="4355" max="4355" width="17.85546875" style="3" customWidth="1"/>
    <col min="4356" max="4372" width="9.140625" style="3" customWidth="1"/>
    <col min="4373" max="4608" width="9" style="3"/>
    <col min="4609" max="4609" width="5.28515625" style="3" customWidth="1"/>
    <col min="4610" max="4610" width="21.5703125" style="3" customWidth="1"/>
    <col min="4611" max="4611" width="17.85546875" style="3" customWidth="1"/>
    <col min="4612" max="4628" width="9.140625" style="3" customWidth="1"/>
    <col min="4629" max="4864" width="9" style="3"/>
    <col min="4865" max="4865" width="5.28515625" style="3" customWidth="1"/>
    <col min="4866" max="4866" width="21.5703125" style="3" customWidth="1"/>
    <col min="4867" max="4867" width="17.85546875" style="3" customWidth="1"/>
    <col min="4868" max="4884" width="9.140625" style="3" customWidth="1"/>
    <col min="4885" max="5120" width="9" style="3"/>
    <col min="5121" max="5121" width="5.28515625" style="3" customWidth="1"/>
    <col min="5122" max="5122" width="21.5703125" style="3" customWidth="1"/>
    <col min="5123" max="5123" width="17.85546875" style="3" customWidth="1"/>
    <col min="5124" max="5140" width="9.140625" style="3" customWidth="1"/>
    <col min="5141" max="5376" width="9" style="3"/>
    <col min="5377" max="5377" width="5.28515625" style="3" customWidth="1"/>
    <col min="5378" max="5378" width="21.5703125" style="3" customWidth="1"/>
    <col min="5379" max="5379" width="17.85546875" style="3" customWidth="1"/>
    <col min="5380" max="5396" width="9.140625" style="3" customWidth="1"/>
    <col min="5397" max="5632" width="9" style="3"/>
    <col min="5633" max="5633" width="5.28515625" style="3" customWidth="1"/>
    <col min="5634" max="5634" width="21.5703125" style="3" customWidth="1"/>
    <col min="5635" max="5635" width="17.85546875" style="3" customWidth="1"/>
    <col min="5636" max="5652" width="9.140625" style="3" customWidth="1"/>
    <col min="5653" max="5888" width="9" style="3"/>
    <col min="5889" max="5889" width="5.28515625" style="3" customWidth="1"/>
    <col min="5890" max="5890" width="21.5703125" style="3" customWidth="1"/>
    <col min="5891" max="5891" width="17.85546875" style="3" customWidth="1"/>
    <col min="5892" max="5908" width="9.140625" style="3" customWidth="1"/>
    <col min="5909" max="6144" width="9" style="3"/>
    <col min="6145" max="6145" width="5.28515625" style="3" customWidth="1"/>
    <col min="6146" max="6146" width="21.5703125" style="3" customWidth="1"/>
    <col min="6147" max="6147" width="17.85546875" style="3" customWidth="1"/>
    <col min="6148" max="6164" width="9.140625" style="3" customWidth="1"/>
    <col min="6165" max="6400" width="9" style="3"/>
    <col min="6401" max="6401" width="5.28515625" style="3" customWidth="1"/>
    <col min="6402" max="6402" width="21.5703125" style="3" customWidth="1"/>
    <col min="6403" max="6403" width="17.85546875" style="3" customWidth="1"/>
    <col min="6404" max="6420" width="9.140625" style="3" customWidth="1"/>
    <col min="6421" max="6656" width="9" style="3"/>
    <col min="6657" max="6657" width="5.28515625" style="3" customWidth="1"/>
    <col min="6658" max="6658" width="21.5703125" style="3" customWidth="1"/>
    <col min="6659" max="6659" width="17.85546875" style="3" customWidth="1"/>
    <col min="6660" max="6676" width="9.140625" style="3" customWidth="1"/>
    <col min="6677" max="6912" width="9" style="3"/>
    <col min="6913" max="6913" width="5.28515625" style="3" customWidth="1"/>
    <col min="6914" max="6914" width="21.5703125" style="3" customWidth="1"/>
    <col min="6915" max="6915" width="17.85546875" style="3" customWidth="1"/>
    <col min="6916" max="6932" width="9.140625" style="3" customWidth="1"/>
    <col min="6933" max="7168" width="9" style="3"/>
    <col min="7169" max="7169" width="5.28515625" style="3" customWidth="1"/>
    <col min="7170" max="7170" width="21.5703125" style="3" customWidth="1"/>
    <col min="7171" max="7171" width="17.85546875" style="3" customWidth="1"/>
    <col min="7172" max="7188" width="9.140625" style="3" customWidth="1"/>
    <col min="7189" max="7424" width="9" style="3"/>
    <col min="7425" max="7425" width="5.28515625" style="3" customWidth="1"/>
    <col min="7426" max="7426" width="21.5703125" style="3" customWidth="1"/>
    <col min="7427" max="7427" width="17.85546875" style="3" customWidth="1"/>
    <col min="7428" max="7444" width="9.140625" style="3" customWidth="1"/>
    <col min="7445" max="7680" width="9" style="3"/>
    <col min="7681" max="7681" width="5.28515625" style="3" customWidth="1"/>
    <col min="7682" max="7682" width="21.5703125" style="3" customWidth="1"/>
    <col min="7683" max="7683" width="17.85546875" style="3" customWidth="1"/>
    <col min="7684" max="7700" width="9.140625" style="3" customWidth="1"/>
    <col min="7701" max="7936" width="9" style="3"/>
    <col min="7937" max="7937" width="5.28515625" style="3" customWidth="1"/>
    <col min="7938" max="7938" width="21.5703125" style="3" customWidth="1"/>
    <col min="7939" max="7939" width="17.85546875" style="3" customWidth="1"/>
    <col min="7940" max="7956" width="9.140625" style="3" customWidth="1"/>
    <col min="7957" max="8192" width="9" style="3"/>
    <col min="8193" max="8193" width="5.28515625" style="3" customWidth="1"/>
    <col min="8194" max="8194" width="21.5703125" style="3" customWidth="1"/>
    <col min="8195" max="8195" width="17.85546875" style="3" customWidth="1"/>
    <col min="8196" max="8212" width="9.140625" style="3" customWidth="1"/>
    <col min="8213" max="8448" width="9" style="3"/>
    <col min="8449" max="8449" width="5.28515625" style="3" customWidth="1"/>
    <col min="8450" max="8450" width="21.5703125" style="3" customWidth="1"/>
    <col min="8451" max="8451" width="17.85546875" style="3" customWidth="1"/>
    <col min="8452" max="8468" width="9.140625" style="3" customWidth="1"/>
    <col min="8469" max="8704" width="9" style="3"/>
    <col min="8705" max="8705" width="5.28515625" style="3" customWidth="1"/>
    <col min="8706" max="8706" width="21.5703125" style="3" customWidth="1"/>
    <col min="8707" max="8707" width="17.85546875" style="3" customWidth="1"/>
    <col min="8708" max="8724" width="9.140625" style="3" customWidth="1"/>
    <col min="8725" max="8960" width="9" style="3"/>
    <col min="8961" max="8961" width="5.28515625" style="3" customWidth="1"/>
    <col min="8962" max="8962" width="21.5703125" style="3" customWidth="1"/>
    <col min="8963" max="8963" width="17.85546875" style="3" customWidth="1"/>
    <col min="8964" max="8980" width="9.140625" style="3" customWidth="1"/>
    <col min="8981" max="9216" width="9" style="3"/>
    <col min="9217" max="9217" width="5.28515625" style="3" customWidth="1"/>
    <col min="9218" max="9218" width="21.5703125" style="3" customWidth="1"/>
    <col min="9219" max="9219" width="17.85546875" style="3" customWidth="1"/>
    <col min="9220" max="9236" width="9.140625" style="3" customWidth="1"/>
    <col min="9237" max="9472" width="9" style="3"/>
    <col min="9473" max="9473" width="5.28515625" style="3" customWidth="1"/>
    <col min="9474" max="9474" width="21.5703125" style="3" customWidth="1"/>
    <col min="9475" max="9475" width="17.85546875" style="3" customWidth="1"/>
    <col min="9476" max="9492" width="9.140625" style="3" customWidth="1"/>
    <col min="9493" max="9728" width="9" style="3"/>
    <col min="9729" max="9729" width="5.28515625" style="3" customWidth="1"/>
    <col min="9730" max="9730" width="21.5703125" style="3" customWidth="1"/>
    <col min="9731" max="9731" width="17.85546875" style="3" customWidth="1"/>
    <col min="9732" max="9748" width="9.140625" style="3" customWidth="1"/>
    <col min="9749" max="9984" width="9" style="3"/>
    <col min="9985" max="9985" width="5.28515625" style="3" customWidth="1"/>
    <col min="9986" max="9986" width="21.5703125" style="3" customWidth="1"/>
    <col min="9987" max="9987" width="17.85546875" style="3" customWidth="1"/>
    <col min="9988" max="10004" width="9.140625" style="3" customWidth="1"/>
    <col min="10005" max="10240" width="9" style="3"/>
    <col min="10241" max="10241" width="5.28515625" style="3" customWidth="1"/>
    <col min="10242" max="10242" width="21.5703125" style="3" customWidth="1"/>
    <col min="10243" max="10243" width="17.85546875" style="3" customWidth="1"/>
    <col min="10244" max="10260" width="9.140625" style="3" customWidth="1"/>
    <col min="10261" max="10496" width="9" style="3"/>
    <col min="10497" max="10497" width="5.28515625" style="3" customWidth="1"/>
    <col min="10498" max="10498" width="21.5703125" style="3" customWidth="1"/>
    <col min="10499" max="10499" width="17.85546875" style="3" customWidth="1"/>
    <col min="10500" max="10516" width="9.140625" style="3" customWidth="1"/>
    <col min="10517" max="10752" width="9" style="3"/>
    <col min="10753" max="10753" width="5.28515625" style="3" customWidth="1"/>
    <col min="10754" max="10754" width="21.5703125" style="3" customWidth="1"/>
    <col min="10755" max="10755" width="17.85546875" style="3" customWidth="1"/>
    <col min="10756" max="10772" width="9.140625" style="3" customWidth="1"/>
    <col min="10773" max="11008" width="9" style="3"/>
    <col min="11009" max="11009" width="5.28515625" style="3" customWidth="1"/>
    <col min="11010" max="11010" width="21.5703125" style="3" customWidth="1"/>
    <col min="11011" max="11011" width="17.85546875" style="3" customWidth="1"/>
    <col min="11012" max="11028" width="9.140625" style="3" customWidth="1"/>
    <col min="11029" max="11264" width="9" style="3"/>
    <col min="11265" max="11265" width="5.28515625" style="3" customWidth="1"/>
    <col min="11266" max="11266" width="21.5703125" style="3" customWidth="1"/>
    <col min="11267" max="11267" width="17.85546875" style="3" customWidth="1"/>
    <col min="11268" max="11284" width="9.140625" style="3" customWidth="1"/>
    <col min="11285" max="11520" width="9" style="3"/>
    <col min="11521" max="11521" width="5.28515625" style="3" customWidth="1"/>
    <col min="11522" max="11522" width="21.5703125" style="3" customWidth="1"/>
    <col min="11523" max="11523" width="17.85546875" style="3" customWidth="1"/>
    <col min="11524" max="11540" width="9.140625" style="3" customWidth="1"/>
    <col min="11541" max="11776" width="9" style="3"/>
    <col min="11777" max="11777" width="5.28515625" style="3" customWidth="1"/>
    <col min="11778" max="11778" width="21.5703125" style="3" customWidth="1"/>
    <col min="11779" max="11779" width="17.85546875" style="3" customWidth="1"/>
    <col min="11780" max="11796" width="9.140625" style="3" customWidth="1"/>
    <col min="11797" max="12032" width="9" style="3"/>
    <col min="12033" max="12033" width="5.28515625" style="3" customWidth="1"/>
    <col min="12034" max="12034" width="21.5703125" style="3" customWidth="1"/>
    <col min="12035" max="12035" width="17.85546875" style="3" customWidth="1"/>
    <col min="12036" max="12052" width="9.140625" style="3" customWidth="1"/>
    <col min="12053" max="12288" width="9" style="3"/>
    <col min="12289" max="12289" width="5.28515625" style="3" customWidth="1"/>
    <col min="12290" max="12290" width="21.5703125" style="3" customWidth="1"/>
    <col min="12291" max="12291" width="17.85546875" style="3" customWidth="1"/>
    <col min="12292" max="12308" width="9.140625" style="3" customWidth="1"/>
    <col min="12309" max="12544" width="9" style="3"/>
    <col min="12545" max="12545" width="5.28515625" style="3" customWidth="1"/>
    <col min="12546" max="12546" width="21.5703125" style="3" customWidth="1"/>
    <col min="12547" max="12547" width="17.85546875" style="3" customWidth="1"/>
    <col min="12548" max="12564" width="9.140625" style="3" customWidth="1"/>
    <col min="12565" max="12800" width="9" style="3"/>
    <col min="12801" max="12801" width="5.28515625" style="3" customWidth="1"/>
    <col min="12802" max="12802" width="21.5703125" style="3" customWidth="1"/>
    <col min="12803" max="12803" width="17.85546875" style="3" customWidth="1"/>
    <col min="12804" max="12820" width="9.140625" style="3" customWidth="1"/>
    <col min="12821" max="13056" width="9" style="3"/>
    <col min="13057" max="13057" width="5.28515625" style="3" customWidth="1"/>
    <col min="13058" max="13058" width="21.5703125" style="3" customWidth="1"/>
    <col min="13059" max="13059" width="17.85546875" style="3" customWidth="1"/>
    <col min="13060" max="13076" width="9.140625" style="3" customWidth="1"/>
    <col min="13077" max="13312" width="9" style="3"/>
    <col min="13313" max="13313" width="5.28515625" style="3" customWidth="1"/>
    <col min="13314" max="13314" width="21.5703125" style="3" customWidth="1"/>
    <col min="13315" max="13315" width="17.85546875" style="3" customWidth="1"/>
    <col min="13316" max="13332" width="9.140625" style="3" customWidth="1"/>
    <col min="13333" max="13568" width="9" style="3"/>
    <col min="13569" max="13569" width="5.28515625" style="3" customWidth="1"/>
    <col min="13570" max="13570" width="21.5703125" style="3" customWidth="1"/>
    <col min="13571" max="13571" width="17.85546875" style="3" customWidth="1"/>
    <col min="13572" max="13588" width="9.140625" style="3" customWidth="1"/>
    <col min="13589" max="13824" width="9" style="3"/>
    <col min="13825" max="13825" width="5.28515625" style="3" customWidth="1"/>
    <col min="13826" max="13826" width="21.5703125" style="3" customWidth="1"/>
    <col min="13827" max="13827" width="17.85546875" style="3" customWidth="1"/>
    <col min="13828" max="13844" width="9.140625" style="3" customWidth="1"/>
    <col min="13845" max="14080" width="9" style="3"/>
    <col min="14081" max="14081" width="5.28515625" style="3" customWidth="1"/>
    <col min="14082" max="14082" width="21.5703125" style="3" customWidth="1"/>
    <col min="14083" max="14083" width="17.85546875" style="3" customWidth="1"/>
    <col min="14084" max="14100" width="9.140625" style="3" customWidth="1"/>
    <col min="14101" max="14336" width="9" style="3"/>
    <col min="14337" max="14337" width="5.28515625" style="3" customWidth="1"/>
    <col min="14338" max="14338" width="21.5703125" style="3" customWidth="1"/>
    <col min="14339" max="14339" width="17.85546875" style="3" customWidth="1"/>
    <col min="14340" max="14356" width="9.140625" style="3" customWidth="1"/>
    <col min="14357" max="14592" width="9" style="3"/>
    <col min="14593" max="14593" width="5.28515625" style="3" customWidth="1"/>
    <col min="14594" max="14594" width="21.5703125" style="3" customWidth="1"/>
    <col min="14595" max="14595" width="17.85546875" style="3" customWidth="1"/>
    <col min="14596" max="14612" width="9.140625" style="3" customWidth="1"/>
    <col min="14613" max="14848" width="9" style="3"/>
    <col min="14849" max="14849" width="5.28515625" style="3" customWidth="1"/>
    <col min="14850" max="14850" width="21.5703125" style="3" customWidth="1"/>
    <col min="14851" max="14851" width="17.85546875" style="3" customWidth="1"/>
    <col min="14852" max="14868" width="9.140625" style="3" customWidth="1"/>
    <col min="14869" max="15104" width="9" style="3"/>
    <col min="15105" max="15105" width="5.28515625" style="3" customWidth="1"/>
    <col min="15106" max="15106" width="21.5703125" style="3" customWidth="1"/>
    <col min="15107" max="15107" width="17.85546875" style="3" customWidth="1"/>
    <col min="15108" max="15124" width="9.140625" style="3" customWidth="1"/>
    <col min="15125" max="15360" width="9" style="3"/>
    <col min="15361" max="15361" width="5.28515625" style="3" customWidth="1"/>
    <col min="15362" max="15362" width="21.5703125" style="3" customWidth="1"/>
    <col min="15363" max="15363" width="17.85546875" style="3" customWidth="1"/>
    <col min="15364" max="15380" width="9.140625" style="3" customWidth="1"/>
    <col min="15381" max="15616" width="9" style="3"/>
    <col min="15617" max="15617" width="5.28515625" style="3" customWidth="1"/>
    <col min="15618" max="15618" width="21.5703125" style="3" customWidth="1"/>
    <col min="15619" max="15619" width="17.85546875" style="3" customWidth="1"/>
    <col min="15620" max="15636" width="9.140625" style="3" customWidth="1"/>
    <col min="15637" max="15872" width="9" style="3"/>
    <col min="15873" max="15873" width="5.28515625" style="3" customWidth="1"/>
    <col min="15874" max="15874" width="21.5703125" style="3" customWidth="1"/>
    <col min="15875" max="15875" width="17.85546875" style="3" customWidth="1"/>
    <col min="15876" max="15892" width="9.140625" style="3" customWidth="1"/>
    <col min="15893" max="16128" width="9" style="3"/>
    <col min="16129" max="16129" width="5.28515625" style="3" customWidth="1"/>
    <col min="16130" max="16130" width="21.5703125" style="3" customWidth="1"/>
    <col min="16131" max="16131" width="17.85546875" style="3" customWidth="1"/>
    <col min="16132" max="16148" width="9.140625" style="3" customWidth="1"/>
    <col min="16149" max="16384" width="9" style="3"/>
  </cols>
  <sheetData>
    <row r="1" spans="1:35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35" s="12" customFormat="1" ht="170.25" customHeight="1" thickBot="1" x14ac:dyDescent="0.3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s="23" customFormat="1" x14ac:dyDescent="0.25">
      <c r="A3" s="13" t="s">
        <v>21</v>
      </c>
      <c r="B3" s="14" t="s">
        <v>22</v>
      </c>
      <c r="C3" s="15" t="s">
        <v>23</v>
      </c>
      <c r="D3" s="16">
        <f>100-(59.02-59.02)/59.02*50</f>
        <v>100</v>
      </c>
      <c r="E3" s="17"/>
      <c r="F3" s="16">
        <f>100-(36.6-36.6)/36.6*50</f>
        <v>100</v>
      </c>
      <c r="G3" s="16">
        <f>100-(80.13-80.13)/80.13*50</f>
        <v>100</v>
      </c>
      <c r="H3" s="66">
        <f>100-(102.16-101.43)/101.43*50</f>
        <v>99.640145913437848</v>
      </c>
      <c r="I3" s="17">
        <f>100-(63.11-63.11)/63.11*50</f>
        <v>100</v>
      </c>
      <c r="J3" s="17"/>
      <c r="K3" s="17">
        <f>100-(113-113)/113*50</f>
        <v>100</v>
      </c>
      <c r="L3" s="142">
        <f>100-(27.27-26.48)/26.48*50</f>
        <v>98.508308157099705</v>
      </c>
      <c r="M3" s="142">
        <f>100-(103.35-102.15)/102.15*50</f>
        <v>99.412628487518361</v>
      </c>
      <c r="N3" s="16">
        <f>100-(45.93-45.93)/45.93*50</f>
        <v>100</v>
      </c>
      <c r="O3" s="142">
        <f>100-(118.285-116.25)/116.25*50</f>
        <v>99.124731182795699</v>
      </c>
      <c r="P3" s="17">
        <f>100-(28.55-28.55)/28.55*50</f>
        <v>100</v>
      </c>
      <c r="Q3" s="143">
        <f>100-(58.38-56.42)/56.42*50</f>
        <v>98.263027295285355</v>
      </c>
      <c r="R3" s="66">
        <f>100-(49.58-49.58)/49.58*50</f>
        <v>100</v>
      </c>
      <c r="S3" s="142">
        <f>100-(63.63-61.57)/61.57*50</f>
        <v>98.327107357479292</v>
      </c>
      <c r="T3" s="22">
        <f>SUM(D3:S3)-L3-M3-O3-Q3-H3-R3-S3</f>
        <v>700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23" customFormat="1" x14ac:dyDescent="0.25">
      <c r="A4" s="24" t="s">
        <v>24</v>
      </c>
      <c r="B4" s="25" t="s">
        <v>25</v>
      </c>
      <c r="C4" s="26" t="s">
        <v>26</v>
      </c>
      <c r="D4" s="21"/>
      <c r="E4" s="27"/>
      <c r="F4" s="18">
        <f>100-(46.33-36.6)/36.6*50</f>
        <v>86.707650273224047</v>
      </c>
      <c r="G4" s="18">
        <f>100-(98-80.13)/80.13*50</f>
        <v>88.849369774117051</v>
      </c>
      <c r="H4" s="18">
        <f>100-(106.03-101.43)/101.43*50</f>
        <v>97.732426303854879</v>
      </c>
      <c r="I4" s="19">
        <f>100-(64.43-63.11)/63.11*50</f>
        <v>98.95420694026302</v>
      </c>
      <c r="J4" s="21">
        <f>100-(54.3-54.3)/54.3*50</f>
        <v>100</v>
      </c>
      <c r="K4" s="18">
        <f>100-(133.88-113)/113*50</f>
        <v>90.761061946902657</v>
      </c>
      <c r="L4" s="21">
        <f>100-(26.48-26.48)/26.48*50</f>
        <v>100</v>
      </c>
      <c r="M4" s="21">
        <f>100-(102.15-102.15)/102.15*50</f>
        <v>100</v>
      </c>
      <c r="N4" s="21">
        <f>100-(47.28-45.93)/45.93*50</f>
        <v>98.530372305682562</v>
      </c>
      <c r="O4" s="21">
        <f>100-(116.25-116.25)/116.25*50</f>
        <v>100</v>
      </c>
      <c r="P4" s="18">
        <f>100-(43.35-28.55)/28.55*50</f>
        <v>74.080560420315237</v>
      </c>
      <c r="Q4" s="21">
        <f>100-(56.42-56.42)/56.42*50</f>
        <v>100</v>
      </c>
      <c r="R4" s="18">
        <f>100-(56.13-49.58)/49.58*50</f>
        <v>93.394513916901971</v>
      </c>
      <c r="S4" s="20">
        <f>100-(73.07-61.57)/61.57*50</f>
        <v>90.661036218937795</v>
      </c>
      <c r="T4" s="28">
        <f>SUM(D4:S4)-F4-G4-K4-H4-P4-R4-S4</f>
        <v>697.48457924594572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s="23" customFormat="1" x14ac:dyDescent="0.25">
      <c r="A5" s="24" t="s">
        <v>27</v>
      </c>
      <c r="B5" s="25" t="s">
        <v>28</v>
      </c>
      <c r="C5" s="26" t="s">
        <v>29</v>
      </c>
      <c r="D5" s="29">
        <f>100-(61.97-59.02)/59.02*50</f>
        <v>97.500847170450697</v>
      </c>
      <c r="E5" s="19">
        <f>100-(88.52-86.1)/86.1*50</f>
        <v>98.594657375145175</v>
      </c>
      <c r="F5" s="30"/>
      <c r="G5" s="30"/>
      <c r="H5" s="19">
        <f>100-(106.6-101.43)/101.43*50</f>
        <v>97.451444345854284</v>
      </c>
      <c r="I5" s="19">
        <f>100-(64.58-63.11)/63.11*50</f>
        <v>98.835366819838384</v>
      </c>
      <c r="J5" s="21"/>
      <c r="K5" s="19"/>
      <c r="L5" s="21"/>
      <c r="M5" s="21"/>
      <c r="N5" s="19">
        <f>100-(50.08-45.93)/45.93*50</f>
        <v>95.482255606357498</v>
      </c>
      <c r="O5" s="18">
        <f>100-(156.13-116.25)/116.25*50</f>
        <v>82.847311827956986</v>
      </c>
      <c r="P5" s="19">
        <f>100-(32.73-28.55)/28.55*50</f>
        <v>92.679509632224182</v>
      </c>
      <c r="Q5" s="146">
        <f>100-(73.43-56.42)/56.42*50</f>
        <v>84.925558312655085</v>
      </c>
      <c r="R5" s="18">
        <f>100-(57.58-49.58)/49.58*50</f>
        <v>91.932230738200886</v>
      </c>
      <c r="S5" s="21">
        <f>100-(61.57-61.57)/61.57*50</f>
        <v>100</v>
      </c>
      <c r="T5" s="28">
        <f>SUM(D5:S5)-O5-Q5-R5</f>
        <v>680.54408094987014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s="23" customFormat="1" x14ac:dyDescent="0.25">
      <c r="A6" s="24" t="s">
        <v>30</v>
      </c>
      <c r="B6" s="25" t="s">
        <v>35</v>
      </c>
      <c r="C6" s="26" t="s">
        <v>36</v>
      </c>
      <c r="D6" s="21">
        <f>100-(65.2-59.02)/59.02*50</f>
        <v>94.764486614706883</v>
      </c>
      <c r="E6" s="21">
        <f>100-(86.1-86.1)/86.1*50</f>
        <v>100</v>
      </c>
      <c r="F6" s="39"/>
      <c r="G6" s="19"/>
      <c r="H6" s="19">
        <f>100-(102.26-101.43)/101.43*50</f>
        <v>99.590850833086861</v>
      </c>
      <c r="I6" s="19">
        <f>100-(64.48-63.11)/63.11*50</f>
        <v>98.914593566788142</v>
      </c>
      <c r="J6" s="19"/>
      <c r="K6" s="19">
        <f>100-(118.87-113)/113*50</f>
        <v>97.402654867256629</v>
      </c>
      <c r="L6" s="19"/>
      <c r="M6" s="27"/>
      <c r="N6" s="21"/>
      <c r="O6" s="21"/>
      <c r="P6" s="19">
        <f>100-(33.68-28.55)/28.55*50</f>
        <v>91.015761821366027</v>
      </c>
      <c r="Q6" s="18">
        <f>100-(77.65-56.42)/56.42*50</f>
        <v>81.185749734136834</v>
      </c>
      <c r="R6" s="20">
        <f>100-(61.48-49.58)/49.58*50</f>
        <v>87.999193223073817</v>
      </c>
      <c r="S6" s="21">
        <f>100-(72.37-61.57)/61.57*50</f>
        <v>91.229494883872007</v>
      </c>
      <c r="T6" s="28">
        <f>SUM(D6:S6)-Q6-R6</f>
        <v>672.91784258707651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23" customFormat="1" x14ac:dyDescent="0.25">
      <c r="A7" s="24" t="s">
        <v>34</v>
      </c>
      <c r="B7" s="25" t="s">
        <v>31</v>
      </c>
      <c r="C7" s="26" t="s">
        <v>32</v>
      </c>
      <c r="D7" s="21"/>
      <c r="E7" s="32"/>
      <c r="F7" s="129"/>
      <c r="G7" s="19"/>
      <c r="H7" s="19">
        <f>100-(101.43-101.43)/101.43*50</f>
        <v>100</v>
      </c>
      <c r="I7" s="19">
        <f>100-(67.28-63.11)/63.11*50</f>
        <v>96.696244652194579</v>
      </c>
      <c r="J7" s="18">
        <f>100-(73.82-54.3)/54.3*50</f>
        <v>82.025782688766114</v>
      </c>
      <c r="K7" s="21">
        <f>100-(136.63-113)/113*50</f>
        <v>89.54424778761063</v>
      </c>
      <c r="L7" s="19">
        <f>100-(28.87-26.48)/26.48*50</f>
        <v>95.487160120845914</v>
      </c>
      <c r="M7" s="19">
        <f>100-(109.6-102.15)/102.15*50</f>
        <v>96.353401860009797</v>
      </c>
      <c r="N7" s="19">
        <f>100-(50.07-45.93)/45.93*50</f>
        <v>95.493141737426512</v>
      </c>
      <c r="O7" s="19">
        <f>100-(136.62-116.25)/116.25*50</f>
        <v>91.238709677419351</v>
      </c>
      <c r="P7" s="19"/>
      <c r="Q7" s="21"/>
      <c r="R7" s="136" t="s">
        <v>33</v>
      </c>
      <c r="S7" s="20">
        <f>100-(83.2-61.57)/61.57*50</f>
        <v>82.434627253532568</v>
      </c>
      <c r="T7" s="28">
        <f>SUM(D7:S7)-J7-S7</f>
        <v>664.81290583550685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s="23" customFormat="1" x14ac:dyDescent="0.25">
      <c r="A8" s="24" t="s">
        <v>37</v>
      </c>
      <c r="B8" s="25" t="s">
        <v>38</v>
      </c>
      <c r="C8" s="26" t="s">
        <v>39</v>
      </c>
      <c r="D8" s="147">
        <f>100-(77.02-59.02)/59.02*50</f>
        <v>84.750931887495767</v>
      </c>
      <c r="E8" s="21">
        <f>100-(98.13-86.1)/86.1*50</f>
        <v>93.013937282229961</v>
      </c>
      <c r="F8" s="18">
        <f>100-(51.27-36.6)/36.6*50</f>
        <v>79.959016393442624</v>
      </c>
      <c r="G8" s="18">
        <f>100-(111.52-80.13)/80.13*50</f>
        <v>80.413078747036067</v>
      </c>
      <c r="H8" s="19">
        <f>100-(115.35-101.43)/101.43*50</f>
        <v>93.138124815143456</v>
      </c>
      <c r="I8" s="19">
        <f>100-(78.48-63.11)/63.11*50</f>
        <v>87.822848993820315</v>
      </c>
      <c r="J8" s="19"/>
      <c r="K8" s="19">
        <f>100-(137.73-113)/113*50</f>
        <v>89.057522123893804</v>
      </c>
      <c r="L8" s="19">
        <f>100-(30.33-26.48)/26.48*50</f>
        <v>92.73036253776435</v>
      </c>
      <c r="M8" s="27">
        <f>100-(120.55-102.15)/102.15*50</f>
        <v>90.993636808614781</v>
      </c>
      <c r="N8" s="19"/>
      <c r="O8" s="19"/>
      <c r="P8" s="19"/>
      <c r="Q8" s="19"/>
      <c r="R8" s="18">
        <f>100-(63.35-49.58)/49.58*50</f>
        <v>86.113352158128265</v>
      </c>
      <c r="S8" s="21">
        <f>100-(77.83-61.57)/61.57*50</f>
        <v>86.795517297385089</v>
      </c>
      <c r="T8" s="28">
        <f>SUM(D8:S8)-F8-G8-D8-R8</f>
        <v>633.55194985885169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s="23" customFormat="1" x14ac:dyDescent="0.25">
      <c r="A9" s="24" t="s">
        <v>40</v>
      </c>
      <c r="B9" s="25" t="s">
        <v>41</v>
      </c>
      <c r="C9" s="35" t="s">
        <v>42</v>
      </c>
      <c r="D9" s="36"/>
      <c r="F9" s="19">
        <f>100-(39.02-36.6)/36.6*50</f>
        <v>96.693989071038246</v>
      </c>
      <c r="G9" s="19">
        <f>100-(92.32-80.13)/80.13*50</f>
        <v>92.393610383127424</v>
      </c>
      <c r="H9" s="19">
        <f>100-(106.65-101.43)/101.43*50</f>
        <v>97.426796805678791</v>
      </c>
      <c r="I9" s="19">
        <f>100-(71.33-63.11)/63.11*50</f>
        <v>93.487561400728893</v>
      </c>
      <c r="J9" s="21"/>
      <c r="L9" s="21"/>
      <c r="M9" s="21"/>
      <c r="N9" s="37"/>
      <c r="O9" s="37"/>
      <c r="P9" s="19">
        <f>100-(33.08-28.55)/28.55*50</f>
        <v>92.066549912434326</v>
      </c>
      <c r="Q9" s="21">
        <f>100-(63.35-56.42)/56.42*50</f>
        <v>93.858560794044664</v>
      </c>
      <c r="T9" s="28">
        <f t="shared" ref="T9:T20" si="0">SUM(D9:S9)</f>
        <v>565.92706836705236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s="23" customFormat="1" x14ac:dyDescent="0.25">
      <c r="A10" s="24" t="s">
        <v>43</v>
      </c>
      <c r="B10" s="25" t="s">
        <v>44</v>
      </c>
      <c r="C10" s="26" t="s">
        <v>45</v>
      </c>
      <c r="D10" s="29">
        <f>100-(85.97-59.02)/59.02*50</f>
        <v>77.168756353778377</v>
      </c>
      <c r="E10" s="19">
        <f>100-(132.5-86.1)/86.1*50</f>
        <v>73.054587688734017</v>
      </c>
      <c r="F10" s="21">
        <f>100-(54.95-36.6)/36.6*50</f>
        <v>74.931693989071036</v>
      </c>
      <c r="G10" s="33" t="s">
        <v>33</v>
      </c>
      <c r="H10" s="19">
        <f>100-(168.9-101.43)/101.43*50</f>
        <v>66.740609287193138</v>
      </c>
      <c r="I10" s="19">
        <f>100-(108.22-63.11)/63.11*50</f>
        <v>64.260814450958634</v>
      </c>
      <c r="J10" s="19"/>
      <c r="K10" s="19"/>
      <c r="L10" s="21">
        <f>100-(37.22-26.48)/26.48*50</f>
        <v>79.720543806646532</v>
      </c>
      <c r="M10" s="21">
        <f>100-(159.95-102.15)/102.15*50</f>
        <v>71.708272148800802</v>
      </c>
      <c r="N10" s="19"/>
      <c r="O10" s="19"/>
      <c r="P10" s="19"/>
      <c r="Q10" s="21"/>
      <c r="R10" s="19"/>
      <c r="S10" s="19"/>
      <c r="T10" s="28">
        <f t="shared" si="0"/>
        <v>507.58527772518255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s="23" customFormat="1" x14ac:dyDescent="0.25">
      <c r="A11" s="24" t="s">
        <v>46</v>
      </c>
      <c r="B11" s="25" t="s">
        <v>47</v>
      </c>
      <c r="C11" s="26" t="s">
        <v>48</v>
      </c>
      <c r="D11" s="38">
        <f>100-(73.37-59.02)/59.02*50</f>
        <v>87.843104032531343</v>
      </c>
      <c r="E11" s="19">
        <f>100-(120.43-86.1)/86.1*50</f>
        <v>80.063879210220662</v>
      </c>
      <c r="F11" s="19"/>
      <c r="G11" s="19"/>
      <c r="H11" s="19"/>
      <c r="I11" s="19"/>
      <c r="J11" s="19"/>
      <c r="K11" s="19"/>
      <c r="L11" s="19">
        <f>100-(31.67-26.48)/26.48*50</f>
        <v>90.200151057401811</v>
      </c>
      <c r="M11" s="19">
        <f>100-(141.45-102.15)/102.15*50</f>
        <v>80.763582966226153</v>
      </c>
      <c r="N11" s="19"/>
      <c r="O11" s="19"/>
      <c r="P11" s="19"/>
      <c r="Q11" s="19"/>
      <c r="R11" s="19"/>
      <c r="S11" s="19"/>
      <c r="T11" s="28">
        <f t="shared" si="0"/>
        <v>338.87071726637998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s="23" customFormat="1" x14ac:dyDescent="0.25">
      <c r="A12" s="24" t="s">
        <v>49</v>
      </c>
      <c r="B12" s="25" t="s">
        <v>54</v>
      </c>
      <c r="C12" s="26"/>
      <c r="D12" s="36"/>
      <c r="E12" s="19"/>
      <c r="F12" s="44"/>
      <c r="J12" s="19"/>
      <c r="K12" s="19">
        <f>100-(185.42-113)/113*50</f>
        <v>67.955752212389385</v>
      </c>
      <c r="L12" s="19">
        <f>100-(31.83-26.48)/26.48*50</f>
        <v>89.898036253776439</v>
      </c>
      <c r="M12" s="27">
        <f>100-(137.92-102.15)/102.15*50</f>
        <v>82.491434165442982</v>
      </c>
      <c r="Q12" s="95"/>
      <c r="R12" s="148" t="s">
        <v>33</v>
      </c>
      <c r="S12" s="31">
        <f>100-(81.28-61.57)/61.57*50</f>
        <v>83.993828163066425</v>
      </c>
      <c r="T12" s="28">
        <f t="shared" si="0"/>
        <v>324.33905079467525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s="23" customFormat="1" x14ac:dyDescent="0.25">
      <c r="A13" s="24" t="s">
        <v>51</v>
      </c>
      <c r="B13" s="25" t="s">
        <v>50</v>
      </c>
      <c r="C13" s="26" t="s">
        <v>45</v>
      </c>
      <c r="D13" s="42"/>
      <c r="E13" s="21"/>
      <c r="F13" s="39"/>
      <c r="G13" s="19"/>
      <c r="H13" s="19">
        <f>100-(115.7-101.43)/101.43*50</f>
        <v>92.965592033915016</v>
      </c>
      <c r="I13" s="19">
        <f>100-(74.36-63.11)/63.11*50</f>
        <v>91.086990968150843</v>
      </c>
      <c r="J13" s="19"/>
      <c r="K13" s="19">
        <f>100-(126.45-113)/113*50</f>
        <v>94.048672566371678</v>
      </c>
      <c r="L13" s="19"/>
      <c r="M13" s="27"/>
      <c r="N13" s="19"/>
      <c r="O13" s="19"/>
      <c r="P13" s="19"/>
      <c r="Q13" s="31"/>
      <c r="R13" s="31"/>
      <c r="S13" s="31"/>
      <c r="T13" s="28">
        <f t="shared" si="0"/>
        <v>278.10125556843752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s="23" customFormat="1" x14ac:dyDescent="0.25">
      <c r="A14" s="24" t="s">
        <v>53</v>
      </c>
      <c r="B14" s="25" t="s">
        <v>52</v>
      </c>
      <c r="C14" s="26" t="s">
        <v>42</v>
      </c>
      <c r="D14" s="40"/>
      <c r="E14" s="19">
        <f>100-(102.5-86.1)/86.1*50</f>
        <v>90.476190476190467</v>
      </c>
      <c r="F14" s="30"/>
      <c r="G14" s="21"/>
      <c r="H14" s="19"/>
      <c r="I14" s="19"/>
      <c r="J14" s="39"/>
      <c r="K14" s="19">
        <f>100-(144.13-113)/113*50</f>
        <v>86.225663716814154</v>
      </c>
      <c r="L14" s="21"/>
      <c r="M14" s="21"/>
      <c r="N14" s="39"/>
      <c r="O14" s="19"/>
      <c r="P14" s="19">
        <f>100-(38.75-28.55)/28.55*50</f>
        <v>82.136602451838883</v>
      </c>
      <c r="Q14" s="39"/>
      <c r="R14" s="30"/>
      <c r="S14" s="21"/>
      <c r="T14" s="28">
        <f t="shared" si="0"/>
        <v>258.83845664484352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s="23" customFormat="1" x14ac:dyDescent="0.25">
      <c r="A15" s="24" t="s">
        <v>55</v>
      </c>
      <c r="B15" s="25" t="s">
        <v>56</v>
      </c>
      <c r="C15" s="35" t="s">
        <v>36</v>
      </c>
      <c r="D15" s="42">
        <f>100-(64.63-59.02)/59.02*50</f>
        <v>95.247373771602852</v>
      </c>
      <c r="E15" s="19"/>
      <c r="F15" s="39"/>
      <c r="G15" s="43"/>
      <c r="H15" s="21"/>
      <c r="I15" s="21"/>
      <c r="J15" s="19"/>
      <c r="K15" s="19">
        <f>100-(128.5-113)/113*50</f>
        <v>93.141592920353986</v>
      </c>
      <c r="L15" s="19"/>
      <c r="M15" s="19"/>
      <c r="N15" s="19"/>
      <c r="O15" s="19"/>
      <c r="P15" s="19"/>
      <c r="Q15" s="19"/>
      <c r="R15" s="19"/>
      <c r="S15" s="19"/>
      <c r="T15" s="28">
        <f t="shared" si="0"/>
        <v>188.38896669195685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s="23" customFormat="1" x14ac:dyDescent="0.25">
      <c r="A16" s="24" t="s">
        <v>57</v>
      </c>
      <c r="B16" s="25" t="s">
        <v>58</v>
      </c>
      <c r="C16" s="35" t="s">
        <v>59</v>
      </c>
      <c r="D16" s="42"/>
      <c r="E16" s="19"/>
      <c r="F16" s="21"/>
      <c r="G16" s="21"/>
      <c r="H16" s="19"/>
      <c r="I16" s="19"/>
      <c r="J16" s="19"/>
      <c r="K16" s="19">
        <f>100-(144.53-113)/113*50</f>
        <v>86.048672566371678</v>
      </c>
      <c r="L16" s="21"/>
      <c r="M16" s="32"/>
      <c r="N16" s="19"/>
      <c r="O16" s="39"/>
      <c r="P16" s="19"/>
      <c r="Q16" s="31"/>
      <c r="R16" s="31"/>
      <c r="S16" s="31"/>
      <c r="T16" s="28">
        <f t="shared" si="0"/>
        <v>86.048672566371678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s="23" customFormat="1" x14ac:dyDescent="0.25">
      <c r="A17" s="24" t="s">
        <v>60</v>
      </c>
      <c r="B17" s="25" t="s">
        <v>61</v>
      </c>
      <c r="C17" s="35" t="s">
        <v>42</v>
      </c>
      <c r="D17" s="42"/>
      <c r="E17" s="19"/>
      <c r="F17" s="39"/>
      <c r="G17" s="19"/>
      <c r="H17" s="32"/>
      <c r="I17" s="21"/>
      <c r="J17" s="19"/>
      <c r="K17" s="19"/>
      <c r="L17" s="19"/>
      <c r="M17" s="27"/>
      <c r="N17" s="19"/>
      <c r="O17" s="19"/>
      <c r="P17" s="19">
        <f>100-(37.88-28.55)/28.55*50</f>
        <v>83.660245183887909</v>
      </c>
      <c r="Q17" s="19"/>
      <c r="R17" s="19"/>
      <c r="S17" s="19"/>
      <c r="T17" s="28">
        <f t="shared" si="0"/>
        <v>83.660245183887909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s="23" customFormat="1" x14ac:dyDescent="0.25">
      <c r="A18" s="24" t="s">
        <v>62</v>
      </c>
      <c r="B18" s="25" t="s">
        <v>63</v>
      </c>
      <c r="C18" s="35" t="s">
        <v>64</v>
      </c>
      <c r="D18" s="41"/>
      <c r="E18" s="19"/>
      <c r="F18" s="44"/>
      <c r="H18" s="37"/>
      <c r="I18" s="37"/>
      <c r="J18" s="19"/>
      <c r="L18" s="19"/>
      <c r="M18" s="27"/>
      <c r="Q18" s="21">
        <f>100-(82.22-56.42)/56.42*50</f>
        <v>77.135767458348113</v>
      </c>
      <c r="S18" s="19"/>
      <c r="T18" s="28">
        <f t="shared" si="0"/>
        <v>77.135767458348113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s="23" customFormat="1" x14ac:dyDescent="0.25">
      <c r="A19" s="24" t="s">
        <v>65</v>
      </c>
      <c r="B19" s="25" t="s">
        <v>66</v>
      </c>
      <c r="C19" s="26" t="s">
        <v>67</v>
      </c>
      <c r="D19" s="29"/>
      <c r="E19" s="19"/>
      <c r="F19" s="39"/>
      <c r="G19" s="19"/>
      <c r="H19" s="43"/>
      <c r="I19" s="19"/>
      <c r="J19" s="19"/>
      <c r="K19" s="19"/>
      <c r="L19" s="19"/>
      <c r="M19" s="27"/>
      <c r="N19" s="19"/>
      <c r="O19" s="19"/>
      <c r="P19" s="19"/>
      <c r="Q19" s="19"/>
      <c r="R19" s="19">
        <f>100-(95.32-49.58)/49.58*50</f>
        <v>53.872529245663578</v>
      </c>
      <c r="S19" s="19"/>
      <c r="T19" s="28">
        <f t="shared" si="0"/>
        <v>53.872529245663578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s="23" customFormat="1" ht="15.75" thickBot="1" x14ac:dyDescent="0.3">
      <c r="A20" s="45" t="s">
        <v>167</v>
      </c>
      <c r="B20" s="46" t="s">
        <v>129</v>
      </c>
      <c r="C20" s="47" t="s">
        <v>75</v>
      </c>
      <c r="D20" s="48"/>
      <c r="E20" s="49"/>
      <c r="F20" s="50"/>
      <c r="G20" s="49"/>
      <c r="H20" s="51"/>
      <c r="I20" s="49"/>
      <c r="J20" s="49"/>
      <c r="K20" s="49"/>
      <c r="L20" s="49"/>
      <c r="M20" s="52"/>
      <c r="N20" s="49"/>
      <c r="O20" s="49"/>
      <c r="P20" s="49"/>
      <c r="Q20" s="53"/>
      <c r="R20" s="49"/>
      <c r="S20" s="144" t="s">
        <v>33</v>
      </c>
      <c r="T20" s="54">
        <f t="shared" si="0"/>
        <v>0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s="2" customFormat="1" x14ac:dyDescent="0.25">
      <c r="D21" s="55"/>
      <c r="E21" s="55"/>
      <c r="F21" s="56"/>
      <c r="G21" s="55"/>
      <c r="H21" s="57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8"/>
    </row>
    <row r="22" spans="1:35" s="2" customFormat="1" x14ac:dyDescent="0.25">
      <c r="F22" s="59"/>
      <c r="J22" s="55"/>
      <c r="L22" s="55"/>
      <c r="N22" s="55"/>
      <c r="O22" s="55"/>
      <c r="T22" s="58"/>
    </row>
    <row r="23" spans="1:35" x14ac:dyDescent="0.25">
      <c r="A23" s="2"/>
      <c r="B23" s="2"/>
      <c r="C23" s="2"/>
      <c r="D23" s="55"/>
      <c r="E23" s="55"/>
      <c r="F23" s="56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  <row r="24" spans="1:35" s="60" customFormat="1" x14ac:dyDescent="0.25">
      <c r="A24" s="60" t="s">
        <v>68</v>
      </c>
    </row>
    <row r="25" spans="1:35" s="61" customFormat="1" x14ac:dyDescent="0.25">
      <c r="A25" s="61" t="s">
        <v>69</v>
      </c>
    </row>
  </sheetData>
  <sortState ref="A3:T20">
    <sortCondition descending="1" ref="T3"/>
  </sortState>
  <mergeCells count="1">
    <mergeCell ref="A1:T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workbookViewId="0">
      <selection activeCell="Q30" sqref="Q30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1.85546875" style="3" customWidth="1"/>
    <col min="4" max="5" width="9.140625" style="3" customWidth="1"/>
    <col min="6" max="6" width="9.140625" style="62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19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19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19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19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19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19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19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19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19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19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19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19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19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19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19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19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19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19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19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19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19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19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19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19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19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19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19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19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19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19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19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19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19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19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19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19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19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19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19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2" ht="159.75" thickBot="1" x14ac:dyDescent="0.3">
      <c r="A2" s="10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</row>
    <row r="3" spans="1:22" x14ac:dyDescent="0.25">
      <c r="A3" s="98" t="s">
        <v>21</v>
      </c>
      <c r="B3" s="14" t="s">
        <v>102</v>
      </c>
      <c r="C3" s="15"/>
      <c r="D3" s="65"/>
      <c r="E3" s="17"/>
      <c r="F3" s="110"/>
      <c r="G3" s="110"/>
      <c r="H3" s="121">
        <f>100-(85.32-81.62)/81.62*50</f>
        <v>97.733398676794906</v>
      </c>
      <c r="I3" s="17"/>
      <c r="J3" s="66">
        <f>100-(47.22-45.17)/45.17*50</f>
        <v>97.730794775293333</v>
      </c>
      <c r="K3" s="27">
        <f>100-(77.9-77.9)/77.9*50</f>
        <v>100</v>
      </c>
      <c r="L3" s="17">
        <f>100-(29.17-29.17)/29.17*50</f>
        <v>100</v>
      </c>
      <c r="M3" s="17">
        <f>100-(90.73-90.73)/90.73*50</f>
        <v>100</v>
      </c>
      <c r="N3" s="19"/>
      <c r="O3" s="17"/>
      <c r="P3" s="27">
        <f>100-(31.25-30.42)/30.42*50</f>
        <v>98.635765943458253</v>
      </c>
      <c r="Q3" s="27">
        <f>100-(44.1-44.1)/44.1*50</f>
        <v>100</v>
      </c>
      <c r="R3" s="27">
        <f>100-(64.8-64.8)/64.8*50</f>
        <v>100</v>
      </c>
      <c r="S3" s="27">
        <f>100-(51.23-51.23)/51.23*50</f>
        <v>100</v>
      </c>
      <c r="T3" s="22">
        <f>SUM(D3:S3)-H3-J3</f>
        <v>698.6357659434583</v>
      </c>
    </row>
    <row r="4" spans="1:22" x14ac:dyDescent="0.25">
      <c r="A4" s="24" t="s">
        <v>24</v>
      </c>
      <c r="B4" s="25" t="s">
        <v>101</v>
      </c>
      <c r="C4" s="26" t="s">
        <v>45</v>
      </c>
      <c r="D4" s="27">
        <f>100-(69.43-69.43)/69.43*50</f>
        <v>100</v>
      </c>
      <c r="E4" s="121">
        <f>100-(98.12-82.43)/82.43*50</f>
        <v>90.48283391968944</v>
      </c>
      <c r="F4" s="27">
        <f>100-(30.55-30.55)/30.55*50</f>
        <v>100</v>
      </c>
      <c r="G4" s="121">
        <f>100-(54.95-49.92)/49.92*50</f>
        <v>94.961939102564102</v>
      </c>
      <c r="H4" s="27">
        <f>100-(81.62-81.62)/81.62*50</f>
        <v>100</v>
      </c>
      <c r="I4" s="27">
        <f>100-(53.02-53.02)/53.02*50</f>
        <v>100</v>
      </c>
      <c r="J4" s="27">
        <f>100-(45.17-45.17)/45.17*50</f>
        <v>100</v>
      </c>
      <c r="K4" s="121">
        <f>100-(82.52-77.9)/77.9*50</f>
        <v>97.034659820282414</v>
      </c>
      <c r="L4" s="19"/>
      <c r="M4" s="19"/>
      <c r="N4" s="18">
        <f>100-(43.2-40.87)/40.87*50</f>
        <v>97.149498409591388</v>
      </c>
      <c r="O4" s="164" t="s">
        <v>33</v>
      </c>
      <c r="P4" s="27">
        <f>100-(30.42-30.42)/30.42*50</f>
        <v>100</v>
      </c>
      <c r="Q4" s="121">
        <f>100-(48.03-44.1)/44.1*50</f>
        <v>95.544217687074834</v>
      </c>
      <c r="R4" s="27">
        <f>100-(66.7-64.8)/64.8*50</f>
        <v>98.533950617283949</v>
      </c>
      <c r="S4" s="121">
        <f>100-(62.68-51.23)/51.23*50</f>
        <v>88.824907280890102</v>
      </c>
      <c r="T4" s="28">
        <f>SUM(D4:S4)-E4-G4-K4-Q4-N4-S4</f>
        <v>698.53395061728361</v>
      </c>
    </row>
    <row r="5" spans="1:22" x14ac:dyDescent="0.25">
      <c r="A5" s="24" t="s">
        <v>27</v>
      </c>
      <c r="B5" s="25" t="s">
        <v>103</v>
      </c>
      <c r="C5" s="26" t="s">
        <v>104</v>
      </c>
      <c r="D5" s="68"/>
      <c r="E5" s="68"/>
      <c r="F5" s="87"/>
      <c r="G5" s="68"/>
      <c r="H5" s="23"/>
      <c r="I5" s="19">
        <f>100-(59.82-53.02)/53.02*50</f>
        <v>93.587325537533005</v>
      </c>
      <c r="J5" s="68"/>
      <c r="K5" s="68"/>
      <c r="L5" s="27">
        <f>100-(32.87-29.17)/29.17*50</f>
        <v>93.657867672266036</v>
      </c>
      <c r="M5" s="27">
        <f>100-(98.22-90.73)/90.73*50</f>
        <v>95.872368566075167</v>
      </c>
      <c r="N5" s="19">
        <f>100-(40.87-40.87)/40.87*50</f>
        <v>100</v>
      </c>
      <c r="O5" s="19">
        <f>100-(91.03-91.03)/91.03*50</f>
        <v>100</v>
      </c>
      <c r="P5" s="121">
        <f>100-(36.78-30.42)/30.42*50</f>
        <v>89.546351084812628</v>
      </c>
      <c r="Q5" s="27">
        <f>100-(50.15-44.1)/44.1*50</f>
        <v>93.140589569160994</v>
      </c>
      <c r="R5" s="121">
        <f>100-(78.83-64.8)/64.8*50</f>
        <v>89.174382716049379</v>
      </c>
      <c r="S5" s="27">
        <f>100-(58.52-51.23)/51.23*50</f>
        <v>92.885028303728276</v>
      </c>
      <c r="T5" s="28">
        <f>SUM(D5:S5)-P5-R5</f>
        <v>669.14317964876352</v>
      </c>
    </row>
    <row r="6" spans="1:22" x14ac:dyDescent="0.25">
      <c r="A6" s="24" t="s">
        <v>30</v>
      </c>
      <c r="B6" s="25" t="s">
        <v>105</v>
      </c>
      <c r="C6" s="26" t="s">
        <v>75</v>
      </c>
      <c r="D6" s="68"/>
      <c r="E6" s="68"/>
      <c r="F6" s="19">
        <f>100-(35.08-30.55)/30.55*50</f>
        <v>92.585924713584291</v>
      </c>
      <c r="G6" s="27">
        <f>100-(49.92-49.92)/49.92*50</f>
        <v>100</v>
      </c>
      <c r="H6" s="68"/>
      <c r="I6" s="19">
        <f>100-(55.12-53.02)/53.02*50</f>
        <v>98.019615239532257</v>
      </c>
      <c r="J6" s="23"/>
      <c r="K6" s="18">
        <f>100-(95.16-77.9)/77.9*50</f>
        <v>88.921694480102701</v>
      </c>
      <c r="L6" s="19">
        <f>100-(33.02-29.17)/29.17*50</f>
        <v>93.400754199520051</v>
      </c>
      <c r="M6" s="18">
        <f>100-(109.7-90.73)/90.73*50</f>
        <v>89.545905433704405</v>
      </c>
      <c r="N6" s="27">
        <f>100-(47.67-40.87)/40.87*50</f>
        <v>91.680939564472709</v>
      </c>
      <c r="O6" s="27">
        <f>100-(94.7-91.03)/91.03*50</f>
        <v>97.984181039217844</v>
      </c>
      <c r="P6" s="27"/>
      <c r="Q6" s="27"/>
      <c r="R6" s="27">
        <f>100-(75.37-64.8)/64.8*50</f>
        <v>91.844135802469125</v>
      </c>
      <c r="S6" s="68"/>
      <c r="T6" s="28">
        <f>SUM(D6:S6)-K6-M6</f>
        <v>665.51555055879624</v>
      </c>
    </row>
    <row r="7" spans="1:22" x14ac:dyDescent="0.25">
      <c r="A7" s="24" t="s">
        <v>34</v>
      </c>
      <c r="B7" s="25" t="s">
        <v>106</v>
      </c>
      <c r="C7" s="26" t="s">
        <v>104</v>
      </c>
      <c r="D7" s="41"/>
      <c r="E7" s="23"/>
      <c r="F7" s="44"/>
      <c r="G7" s="23"/>
      <c r="H7" s="23"/>
      <c r="I7" s="27">
        <f>100-(94.77-53.02)/53.02*50</f>
        <v>60.628064881176925</v>
      </c>
      <c r="J7" s="23"/>
      <c r="K7" s="68"/>
      <c r="L7" s="19">
        <f>100-(35.28-29.17)/29.17*50</f>
        <v>89.526911210147418</v>
      </c>
      <c r="M7" s="19">
        <f>100-(163.53-90.73)/90.73*50</f>
        <v>59.880965502039018</v>
      </c>
      <c r="N7" s="19">
        <f>100-(49.82-40.87)/40.87*50</f>
        <v>89.050648397357463</v>
      </c>
      <c r="O7" s="19">
        <f>100-(103.37-91.03)/91.03*50</f>
        <v>93.222014720421839</v>
      </c>
      <c r="P7" s="27"/>
      <c r="Q7" s="27"/>
      <c r="R7" s="68"/>
      <c r="S7" s="95"/>
      <c r="T7" s="28">
        <f t="shared" ref="T7:T18" si="0">SUM(D7:S7)</f>
        <v>392.30860471114266</v>
      </c>
    </row>
    <row r="8" spans="1:22" x14ac:dyDescent="0.25">
      <c r="A8" s="24" t="s">
        <v>37</v>
      </c>
      <c r="B8" s="25" t="s">
        <v>111</v>
      </c>
      <c r="C8" s="26" t="s">
        <v>26</v>
      </c>
      <c r="D8" s="42"/>
      <c r="E8" s="19"/>
      <c r="F8" s="39"/>
      <c r="G8" s="19"/>
      <c r="H8" s="19">
        <f>100-(97.83-81.62)/81.62*50</f>
        <v>90.069835824552811</v>
      </c>
      <c r="I8" s="27"/>
      <c r="J8" s="27"/>
      <c r="K8" s="27"/>
      <c r="L8" s="19">
        <f>100-(34.23-29.17)/29.17*50</f>
        <v>91.326705519369227</v>
      </c>
      <c r="M8" s="32"/>
      <c r="N8" s="27"/>
      <c r="O8" s="27"/>
      <c r="P8" s="27"/>
      <c r="Q8" s="27"/>
      <c r="R8" s="19">
        <f>100-(67.33-64.8)/64.8*50</f>
        <v>98.047839506172835</v>
      </c>
      <c r="S8" s="31">
        <f>100-(65.33-51.23)/51.23*50</f>
        <v>86.238532110091739</v>
      </c>
      <c r="T8" s="28">
        <f t="shared" si="0"/>
        <v>365.68291296018657</v>
      </c>
    </row>
    <row r="9" spans="1:22" x14ac:dyDescent="0.25">
      <c r="A9" s="24" t="s">
        <v>40</v>
      </c>
      <c r="B9" s="25" t="s">
        <v>107</v>
      </c>
      <c r="C9" s="26" t="s">
        <v>108</v>
      </c>
      <c r="D9" s="42">
        <f>100-(76.6-69.43)/69.43*50</f>
        <v>94.836525997407477</v>
      </c>
      <c r="E9" s="19">
        <f>100-(112.22-82.43)/82.43*50</f>
        <v>81.930122528205757</v>
      </c>
      <c r="F9" s="19">
        <f>100-(37.63-30.55)/30.55*50</f>
        <v>88.412438625204572</v>
      </c>
      <c r="G9" s="19">
        <f>100-(52.88-49.92)/49.92*50</f>
        <v>97.035256410256409</v>
      </c>
      <c r="H9" s="68"/>
      <c r="I9" s="23"/>
      <c r="J9" s="19"/>
      <c r="K9" s="19"/>
      <c r="L9" s="19"/>
      <c r="M9" s="19"/>
      <c r="N9" s="19"/>
      <c r="O9" s="19"/>
      <c r="P9" s="19"/>
      <c r="Q9" s="19"/>
      <c r="R9" s="19"/>
      <c r="S9" s="31"/>
      <c r="T9" s="28">
        <f t="shared" si="0"/>
        <v>362.2143435610742</v>
      </c>
    </row>
    <row r="10" spans="1:22" x14ac:dyDescent="0.25">
      <c r="A10" s="24" t="s">
        <v>43</v>
      </c>
      <c r="B10" s="25" t="s">
        <v>109</v>
      </c>
      <c r="C10" s="26" t="s">
        <v>110</v>
      </c>
      <c r="D10" s="42">
        <f>100-(80.98-69.43)/69.43*50</f>
        <v>91.682269912141734</v>
      </c>
      <c r="E10" s="19">
        <f>100-(133.63-82.43)/82.43*50</f>
        <v>68.943345869222384</v>
      </c>
      <c r="F10" s="44"/>
      <c r="G10" s="23"/>
      <c r="H10" s="19">
        <f>100-(120.18-81.62)/81.62*50</f>
        <v>76.378338642489581</v>
      </c>
      <c r="I10" s="23"/>
      <c r="J10" s="19"/>
      <c r="K10" s="19"/>
      <c r="L10" s="19"/>
      <c r="M10" s="19"/>
      <c r="N10" s="19"/>
      <c r="O10" s="19"/>
      <c r="P10" s="27"/>
      <c r="Q10" s="27"/>
      <c r="R10" s="27"/>
      <c r="S10" s="27"/>
      <c r="T10" s="28">
        <f t="shared" si="0"/>
        <v>237.00395442385368</v>
      </c>
    </row>
    <row r="11" spans="1:22" x14ac:dyDescent="0.25">
      <c r="A11" s="24" t="s">
        <v>46</v>
      </c>
      <c r="B11" s="125" t="s">
        <v>166</v>
      </c>
      <c r="C11" s="126" t="s">
        <v>159</v>
      </c>
      <c r="D11" s="127"/>
      <c r="E11" s="27"/>
      <c r="F11" s="124"/>
      <c r="G11" s="124"/>
      <c r="H11" s="129"/>
      <c r="I11" s="27"/>
      <c r="J11" s="129"/>
      <c r="K11" s="129"/>
      <c r="L11" s="19"/>
      <c r="M11" s="141"/>
      <c r="N11" s="129"/>
      <c r="O11" s="129"/>
      <c r="P11" s="19"/>
      <c r="Q11" s="19"/>
      <c r="R11" s="27">
        <f>100-(68.5-64.8)/64.8*50</f>
        <v>97.145061728395063</v>
      </c>
      <c r="S11" s="165">
        <f>100-(57.05-51.23)/51.23*50</f>
        <v>94.319734530548502</v>
      </c>
      <c r="T11" s="28">
        <f t="shared" si="0"/>
        <v>191.46479625894358</v>
      </c>
    </row>
    <row r="12" spans="1:22" x14ac:dyDescent="0.25">
      <c r="A12" s="24" t="s">
        <v>49</v>
      </c>
      <c r="B12" s="125" t="s">
        <v>54</v>
      </c>
      <c r="C12" s="126" t="s">
        <v>112</v>
      </c>
      <c r="D12" s="127"/>
      <c r="E12" s="27">
        <f>100-(82.43-82.43)/82.43*50</f>
        <v>100</v>
      </c>
      <c r="F12" s="87"/>
      <c r="G12" s="27"/>
      <c r="H12" s="69"/>
      <c r="I12" s="68"/>
      <c r="J12" s="69"/>
      <c r="K12" s="69"/>
      <c r="L12" s="19"/>
      <c r="M12" s="19"/>
      <c r="N12" s="69"/>
      <c r="O12" s="23"/>
      <c r="P12" s="68"/>
      <c r="Q12" s="68"/>
      <c r="R12" s="68"/>
      <c r="S12" s="128"/>
      <c r="T12" s="28">
        <f t="shared" si="0"/>
        <v>100</v>
      </c>
    </row>
    <row r="13" spans="1:22" x14ac:dyDescent="0.25">
      <c r="A13" s="24" t="s">
        <v>51</v>
      </c>
      <c r="B13" s="25" t="s">
        <v>61</v>
      </c>
      <c r="C13" s="26" t="s">
        <v>42</v>
      </c>
      <c r="D13" s="41"/>
      <c r="E13" s="23"/>
      <c r="F13" s="44"/>
      <c r="G13" s="23"/>
      <c r="H13" s="23"/>
      <c r="I13" s="19"/>
      <c r="J13" s="23"/>
      <c r="K13" s="23"/>
      <c r="L13" s="19"/>
      <c r="M13" s="19"/>
      <c r="N13" s="19"/>
      <c r="O13" s="19"/>
      <c r="P13" s="19"/>
      <c r="Q13" s="19">
        <f>100-(45.92-44.1)/44.1*50</f>
        <v>97.936507936507937</v>
      </c>
      <c r="R13" s="23"/>
      <c r="S13" s="95"/>
      <c r="T13" s="28">
        <f t="shared" si="0"/>
        <v>97.936507936507937</v>
      </c>
    </row>
    <row r="14" spans="1:22" x14ac:dyDescent="0.25">
      <c r="A14" s="24" t="s">
        <v>53</v>
      </c>
      <c r="B14" s="25" t="s">
        <v>113</v>
      </c>
      <c r="C14" s="26" t="s">
        <v>112</v>
      </c>
      <c r="D14" s="41"/>
      <c r="E14" s="19"/>
      <c r="F14" s="44"/>
      <c r="G14" s="19"/>
      <c r="H14" s="23"/>
      <c r="I14" s="23"/>
      <c r="J14" s="23"/>
      <c r="K14" s="23"/>
      <c r="L14" s="19"/>
      <c r="M14" s="19"/>
      <c r="N14" s="23"/>
      <c r="O14" s="19">
        <f>100-(98.73-91.03)/91.03*50</f>
        <v>95.770625068658688</v>
      </c>
      <c r="P14" s="19"/>
      <c r="Q14" s="19"/>
      <c r="R14" s="23"/>
      <c r="S14" s="26"/>
      <c r="T14" s="84">
        <f t="shared" si="0"/>
        <v>95.770625068658688</v>
      </c>
    </row>
    <row r="15" spans="1:22" x14ac:dyDescent="0.25">
      <c r="A15" s="24" t="s">
        <v>55</v>
      </c>
      <c r="B15" s="25" t="s">
        <v>114</v>
      </c>
      <c r="C15" s="26" t="s">
        <v>112</v>
      </c>
      <c r="D15" s="41"/>
      <c r="E15" s="19"/>
      <c r="F15" s="44"/>
      <c r="G15" s="19"/>
      <c r="H15" s="23"/>
      <c r="I15" s="23"/>
      <c r="J15" s="23"/>
      <c r="K15" s="23"/>
      <c r="L15" s="19"/>
      <c r="M15" s="19"/>
      <c r="N15" s="23"/>
      <c r="O15" s="19">
        <f>100-(105.05-91.03)/91.03*50</f>
        <v>92.299242008129184</v>
      </c>
      <c r="P15" s="19"/>
      <c r="Q15" s="27"/>
      <c r="R15" s="23"/>
      <c r="S15" s="95"/>
      <c r="T15" s="84">
        <f t="shared" si="0"/>
        <v>92.299242008129184</v>
      </c>
    </row>
    <row r="16" spans="1:22" x14ac:dyDescent="0.25">
      <c r="A16" s="24" t="s">
        <v>57</v>
      </c>
      <c r="B16" s="25" t="s">
        <v>115</v>
      </c>
      <c r="C16" s="26" t="s">
        <v>26</v>
      </c>
      <c r="D16" s="41"/>
      <c r="E16" s="23"/>
      <c r="F16" s="44"/>
      <c r="G16" s="23"/>
      <c r="H16" s="23"/>
      <c r="I16" s="19"/>
      <c r="J16" s="23"/>
      <c r="K16" s="23"/>
      <c r="L16" s="19">
        <f>100-(35.68-29.17)/29.17*50</f>
        <v>88.841275282824824</v>
      </c>
      <c r="M16" s="19"/>
      <c r="N16" s="19"/>
      <c r="O16" s="19"/>
      <c r="P16" s="19"/>
      <c r="Q16" s="19"/>
      <c r="R16" s="23"/>
      <c r="S16" s="95"/>
      <c r="T16" s="28">
        <f t="shared" si="0"/>
        <v>88.841275282824824</v>
      </c>
    </row>
    <row r="17" spans="1:20" x14ac:dyDescent="0.25">
      <c r="A17" s="24" t="s">
        <v>60</v>
      </c>
      <c r="B17" s="130" t="s">
        <v>116</v>
      </c>
      <c r="C17" s="131" t="s">
        <v>45</v>
      </c>
      <c r="D17" s="132"/>
      <c r="E17" s="94"/>
      <c r="F17" s="133"/>
      <c r="G17" s="133"/>
      <c r="H17" s="94"/>
      <c r="I17" s="94"/>
      <c r="J17" s="94"/>
      <c r="K17" s="94"/>
      <c r="L17" s="94">
        <f>100-(37.6-29.17)/29.17*50</f>
        <v>85.550222831676379</v>
      </c>
      <c r="M17" s="134" t="s">
        <v>33</v>
      </c>
      <c r="N17" s="94"/>
      <c r="O17" s="94"/>
      <c r="P17" s="27"/>
      <c r="Q17" s="27"/>
      <c r="R17" s="27"/>
      <c r="S17" s="27"/>
      <c r="T17" s="28">
        <f t="shared" si="0"/>
        <v>85.550222831676379</v>
      </c>
    </row>
    <row r="18" spans="1:20" ht="15.75" thickBot="1" x14ac:dyDescent="0.3">
      <c r="A18" s="45" t="s">
        <v>62</v>
      </c>
      <c r="B18" s="46" t="s">
        <v>117</v>
      </c>
      <c r="C18" s="47" t="s">
        <v>42</v>
      </c>
      <c r="D18" s="72"/>
      <c r="E18" s="74"/>
      <c r="F18" s="89"/>
      <c r="G18" s="74"/>
      <c r="H18" s="74"/>
      <c r="I18" s="49"/>
      <c r="J18" s="74"/>
      <c r="K18" s="74"/>
      <c r="L18" s="49"/>
      <c r="M18" s="49"/>
      <c r="N18" s="49"/>
      <c r="O18" s="49"/>
      <c r="P18" s="52">
        <f>100-(40.62-30.42)/30.42*50</f>
        <v>83.234714003944788</v>
      </c>
      <c r="Q18" s="52"/>
      <c r="R18" s="135"/>
      <c r="S18" s="73"/>
      <c r="T18" s="54">
        <f t="shared" si="0"/>
        <v>83.234714003944788</v>
      </c>
    </row>
    <row r="19" spans="1:20" x14ac:dyDescent="0.25">
      <c r="A19" s="2"/>
      <c r="B19" s="2"/>
      <c r="C19" s="2"/>
      <c r="D19" s="2"/>
      <c r="E19" s="2"/>
      <c r="F19" s="59"/>
      <c r="G19" s="2"/>
      <c r="H19" s="2"/>
      <c r="I19" s="2"/>
      <c r="J19" s="2"/>
      <c r="K19" s="2"/>
      <c r="L19" s="2"/>
      <c r="M19" s="97"/>
      <c r="N19" s="2"/>
      <c r="O19" s="2"/>
      <c r="P19" s="2"/>
      <c r="Q19" s="2"/>
      <c r="R19" s="2"/>
      <c r="S19" s="2"/>
      <c r="T19" s="58"/>
    </row>
    <row r="20" spans="1:20" x14ac:dyDescent="0.25">
      <c r="A20" s="2"/>
      <c r="B20" s="2"/>
      <c r="C20" s="2"/>
      <c r="D20" s="2"/>
      <c r="E20" s="2"/>
      <c r="F20" s="59"/>
      <c r="G20" s="2"/>
      <c r="H20" s="2"/>
      <c r="I20" s="2"/>
      <c r="J20" s="2"/>
      <c r="K20" s="2"/>
      <c r="L20" s="2"/>
      <c r="M20" s="2"/>
      <c r="N20" s="55"/>
      <c r="O20" s="55"/>
      <c r="P20" s="55"/>
      <c r="Q20" s="55"/>
      <c r="R20" s="2"/>
      <c r="S20" s="2"/>
      <c r="T20" s="58"/>
    </row>
    <row r="21" spans="1:20" x14ac:dyDescent="0.25">
      <c r="A21" s="2"/>
      <c r="B21" s="2"/>
      <c r="C21" s="2"/>
      <c r="D21" s="2"/>
      <c r="E21" s="2"/>
      <c r="F21" s="5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s="60" customFormat="1" x14ac:dyDescent="0.25">
      <c r="A22" s="60" t="s">
        <v>68</v>
      </c>
    </row>
    <row r="23" spans="1:20" s="61" customFormat="1" x14ac:dyDescent="0.25">
      <c r="A23" s="61" t="s">
        <v>69</v>
      </c>
    </row>
  </sheetData>
  <sortState ref="A3:T18">
    <sortCondition descending="1" ref="T3"/>
  </sortState>
  <mergeCells count="1">
    <mergeCell ref="A1:T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workbookViewId="0">
      <selection activeCell="D21" sqref="D21"/>
    </sheetView>
  </sheetViews>
  <sheetFormatPr defaultColWidth="9" defaultRowHeight="15" x14ac:dyDescent="0.25"/>
  <cols>
    <col min="1" max="1" width="5.140625" style="3" customWidth="1"/>
    <col min="2" max="2" width="25.28515625" style="3" customWidth="1"/>
    <col min="3" max="3" width="11.85546875" style="3" customWidth="1"/>
    <col min="4" max="5" width="9.140625" style="3" customWidth="1"/>
    <col min="6" max="6" width="9.140625" style="62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25.2851562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25.2851562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25.2851562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25.2851562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25.2851562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25.2851562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25.2851562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25.2851562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25.2851562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25.2851562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25.2851562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25.2851562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25.2851562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25.2851562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25.2851562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25.2851562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25.2851562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25.2851562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25.2851562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25.2851562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25.2851562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25.2851562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25.2851562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25.2851562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25.2851562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25.2851562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25.2851562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25.2851562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25.2851562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25.2851562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25.2851562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25.2851562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25.2851562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25.2851562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25.2851562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25.2851562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25.2851562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25.2851562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25.2851562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5.2851562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5.2851562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5.2851562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5.2851562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5.2851562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5.2851562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5.2851562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5.2851562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5.2851562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5.2851562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5.2851562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5.2851562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5.2851562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5.2851562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5.2851562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5.2851562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5.2851562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5.2851562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5.2851562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5.2851562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5.2851562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5.2851562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5.2851562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5.2851562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2" ht="159.75" thickBot="1" x14ac:dyDescent="0.3">
      <c r="A2" s="10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</row>
    <row r="3" spans="1:22" x14ac:dyDescent="0.25">
      <c r="A3" s="98" t="s">
        <v>21</v>
      </c>
      <c r="B3" s="14" t="s">
        <v>121</v>
      </c>
      <c r="C3" s="15" t="s">
        <v>112</v>
      </c>
      <c r="D3" s="17">
        <f>100-(76.88-76.88)/76.88*50</f>
        <v>100</v>
      </c>
      <c r="E3" s="17">
        <f>100-(143.72-123.82)/123.82*50</f>
        <v>91.964141495719588</v>
      </c>
      <c r="F3" s="17"/>
      <c r="G3" s="17"/>
      <c r="H3" s="17">
        <f>100-(112.57-68.23)/68.23*50</f>
        <v>67.506961747032108</v>
      </c>
      <c r="I3" s="19">
        <f>100-(58.08-40.63)/40.63*50</f>
        <v>78.525719911395527</v>
      </c>
      <c r="J3" s="65"/>
      <c r="K3" s="65"/>
      <c r="L3" s="65"/>
      <c r="M3" s="65"/>
      <c r="N3" s="17"/>
      <c r="O3" s="17"/>
      <c r="P3" s="17"/>
      <c r="Q3" s="17"/>
      <c r="R3" s="17">
        <f>100-(96.47-80.33)/80.33*50</f>
        <v>89.953939997510275</v>
      </c>
      <c r="S3" s="123">
        <f>100-(68.05-68.05)/68.05*50</f>
        <v>100</v>
      </c>
      <c r="T3" s="22">
        <f t="shared" ref="T3:T11" si="0">SUM(D3:S3)</f>
        <v>527.9507631516575</v>
      </c>
    </row>
    <row r="4" spans="1:22" x14ac:dyDescent="0.25">
      <c r="A4" s="105" t="s">
        <v>24</v>
      </c>
      <c r="B4" s="25" t="s">
        <v>119</v>
      </c>
      <c r="C4" s="26" t="s">
        <v>90</v>
      </c>
      <c r="D4" s="41"/>
      <c r="E4" s="27"/>
      <c r="F4" s="27"/>
      <c r="G4" s="27"/>
      <c r="H4" s="68"/>
      <c r="I4" s="68"/>
      <c r="J4" s="23"/>
      <c r="K4" s="23"/>
      <c r="L4" s="19">
        <f>100-(31.27-29.02)/29.02*50</f>
        <v>96.123363197794617</v>
      </c>
      <c r="M4" s="19">
        <f>100-(72.23-72.23)/72.23*50</f>
        <v>100</v>
      </c>
      <c r="N4" s="19"/>
      <c r="O4" s="19"/>
      <c r="P4" s="19"/>
      <c r="Q4" s="19"/>
      <c r="R4" s="19">
        <f>100-(80.33-80.33)/80.33*50</f>
        <v>100</v>
      </c>
      <c r="S4" s="31">
        <f>100-(73.2-68.05)/68.05*50</f>
        <v>96.21601763409258</v>
      </c>
      <c r="T4" s="28">
        <f t="shared" si="0"/>
        <v>392.33938083188718</v>
      </c>
    </row>
    <row r="5" spans="1:22" x14ac:dyDescent="0.25">
      <c r="A5" s="105" t="s">
        <v>27</v>
      </c>
      <c r="B5" s="25" t="s">
        <v>120</v>
      </c>
      <c r="C5" s="26" t="s">
        <v>90</v>
      </c>
      <c r="D5" s="19">
        <f>100-(89.22-76.88)/76.88*50</f>
        <v>91.974505723204999</v>
      </c>
      <c r="E5" s="19">
        <f>100-(123.82-123.82)/123.82*50</f>
        <v>100</v>
      </c>
      <c r="F5" s="19"/>
      <c r="G5" s="19"/>
      <c r="H5" s="19"/>
      <c r="I5" s="19"/>
      <c r="J5" s="19"/>
      <c r="K5" s="19"/>
      <c r="L5" s="19">
        <f>100-(29.02-29.02)/29.02*50</f>
        <v>100</v>
      </c>
      <c r="M5" s="19">
        <f>100-(79.1-72.23)/72.23*50</f>
        <v>95.244358299875401</v>
      </c>
      <c r="N5" s="19"/>
      <c r="O5" s="19"/>
      <c r="P5" s="19"/>
      <c r="Q5" s="19"/>
      <c r="R5" s="19"/>
      <c r="S5" s="19"/>
      <c r="T5" s="28">
        <f t="shared" si="0"/>
        <v>387.21886402308036</v>
      </c>
    </row>
    <row r="6" spans="1:22" x14ac:dyDescent="0.25">
      <c r="A6" s="105" t="s">
        <v>30</v>
      </c>
      <c r="B6" s="25" t="s">
        <v>78</v>
      </c>
      <c r="C6" s="26" t="s">
        <v>71</v>
      </c>
      <c r="D6" s="41"/>
      <c r="E6" s="23"/>
      <c r="F6" s="27"/>
      <c r="G6" s="27"/>
      <c r="H6" s="19">
        <f>100-(81.91-68.23)/68.23*50</f>
        <v>89.975084273779871</v>
      </c>
      <c r="I6" s="19">
        <f>100-(53.93-40.63)/40.63*50</f>
        <v>83.632783657396018</v>
      </c>
      <c r="J6" s="23"/>
      <c r="K6" s="23"/>
      <c r="L6" s="19">
        <f>100-(31.28-29.02)/29.02*50</f>
        <v>96.106133700895924</v>
      </c>
      <c r="M6" s="19"/>
      <c r="N6" s="19"/>
      <c r="O6" s="19"/>
      <c r="P6" s="19"/>
      <c r="Q6" s="19"/>
      <c r="R6" s="23"/>
      <c r="S6" s="95"/>
      <c r="T6" s="28">
        <f t="shared" si="0"/>
        <v>269.71400163207181</v>
      </c>
    </row>
    <row r="7" spans="1:22" x14ac:dyDescent="0.25">
      <c r="A7" s="105" t="s">
        <v>34</v>
      </c>
      <c r="B7" s="25" t="s">
        <v>118</v>
      </c>
      <c r="C7" s="26" t="s">
        <v>23</v>
      </c>
      <c r="D7" s="23"/>
      <c r="E7" s="23"/>
      <c r="F7" s="27"/>
      <c r="G7" s="27"/>
      <c r="H7" s="27">
        <f>100-(68.23-68.23)/68.23*50</f>
        <v>100</v>
      </c>
      <c r="I7" s="19">
        <f>100-(40.63-40.63)/40.63*50</f>
        <v>100</v>
      </c>
      <c r="J7" s="23"/>
      <c r="K7" s="23"/>
      <c r="L7" s="19"/>
      <c r="M7" s="23"/>
      <c r="N7" s="23"/>
      <c r="O7" s="23"/>
      <c r="P7" s="23"/>
      <c r="Q7" s="23"/>
      <c r="R7" s="23"/>
      <c r="S7" s="23"/>
      <c r="T7" s="28">
        <f t="shared" si="0"/>
        <v>200</v>
      </c>
    </row>
    <row r="8" spans="1:22" x14ac:dyDescent="0.25">
      <c r="A8" s="105" t="s">
        <v>37</v>
      </c>
      <c r="B8" s="25" t="s">
        <v>170</v>
      </c>
      <c r="C8" s="26" t="s">
        <v>160</v>
      </c>
      <c r="D8" s="41"/>
      <c r="E8" s="19"/>
      <c r="F8" s="39"/>
      <c r="G8" s="124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>100-(80.88-68.05)/68.05*50</f>
        <v>90.573108008817044</v>
      </c>
      <c r="T8" s="28">
        <f t="shared" si="0"/>
        <v>90.573108008817044</v>
      </c>
    </row>
    <row r="9" spans="1:22" x14ac:dyDescent="0.25">
      <c r="A9" s="105" t="s">
        <v>40</v>
      </c>
      <c r="B9" s="25" t="s">
        <v>174</v>
      </c>
      <c r="C9" s="26" t="s">
        <v>75</v>
      </c>
      <c r="D9" s="19">
        <f>100-(99.67-76.88)/76.88*50</f>
        <v>85.178199791883443</v>
      </c>
      <c r="E9" s="19"/>
      <c r="F9" s="39"/>
      <c r="G9" s="124"/>
      <c r="H9" s="27"/>
      <c r="I9" s="19"/>
      <c r="J9" s="19"/>
      <c r="K9" s="27"/>
      <c r="L9" s="19"/>
      <c r="M9" s="19"/>
      <c r="N9" s="19"/>
      <c r="O9" s="19"/>
      <c r="P9" s="19"/>
      <c r="Q9" s="19"/>
      <c r="R9" s="19"/>
      <c r="S9" s="19"/>
      <c r="T9" s="28">
        <f t="shared" si="0"/>
        <v>85.178199791883443</v>
      </c>
    </row>
    <row r="10" spans="1:22" x14ac:dyDescent="0.25">
      <c r="A10" s="105" t="s">
        <v>43</v>
      </c>
      <c r="B10" s="25" t="s">
        <v>171</v>
      </c>
      <c r="C10" s="26" t="s">
        <v>112</v>
      </c>
      <c r="D10" s="41"/>
      <c r="E10" s="23"/>
      <c r="F10" s="44"/>
      <c r="G10" s="27"/>
      <c r="H10" s="68"/>
      <c r="I10" s="23"/>
      <c r="J10" s="23"/>
      <c r="K10" s="68"/>
      <c r="L10" s="23"/>
      <c r="M10" s="19"/>
      <c r="N10" s="23"/>
      <c r="O10" s="23"/>
      <c r="P10" s="23"/>
      <c r="Q10" s="23"/>
      <c r="R10" s="23"/>
      <c r="S10" s="19">
        <f>100-(99.35-68.05)/68.05*50</f>
        <v>77.002204261572373</v>
      </c>
      <c r="T10" s="28">
        <f t="shared" si="0"/>
        <v>77.002204261572373</v>
      </c>
    </row>
    <row r="11" spans="1:22" ht="15.75" thickBot="1" x14ac:dyDescent="0.3">
      <c r="A11" s="106" t="s">
        <v>46</v>
      </c>
      <c r="B11" s="46" t="s">
        <v>122</v>
      </c>
      <c r="C11" s="47" t="s">
        <v>123</v>
      </c>
      <c r="D11" s="72"/>
      <c r="E11" s="49"/>
      <c r="F11" s="50"/>
      <c r="G11" s="116"/>
      <c r="H11" s="49">
        <f>100-(143.78-68.23)/68.23*50</f>
        <v>44.635790707899758</v>
      </c>
      <c r="I11" s="49"/>
      <c r="J11" s="49"/>
      <c r="K11" s="52"/>
      <c r="L11" s="49"/>
      <c r="M11" s="49"/>
      <c r="N11" s="49"/>
      <c r="O11" s="49"/>
      <c r="P11" s="49"/>
      <c r="Q11" s="49"/>
      <c r="R11" s="49"/>
      <c r="S11" s="49"/>
      <c r="T11" s="54">
        <f t="shared" si="0"/>
        <v>44.635790707899758</v>
      </c>
    </row>
    <row r="12" spans="1:22" x14ac:dyDescent="0.25">
      <c r="A12" s="2"/>
      <c r="B12" s="2"/>
      <c r="C12" s="2"/>
      <c r="D12" s="2"/>
      <c r="E12" s="2"/>
      <c r="F12" s="59"/>
      <c r="G12" s="2"/>
      <c r="H12" s="2"/>
      <c r="I12" s="2"/>
      <c r="J12" s="2"/>
      <c r="K12" s="2"/>
      <c r="L12" s="2"/>
      <c r="M12" s="97"/>
      <c r="N12" s="2"/>
      <c r="O12" s="2"/>
      <c r="P12" s="2"/>
      <c r="Q12" s="2"/>
      <c r="R12" s="2"/>
      <c r="S12" s="2"/>
      <c r="T12" s="58"/>
    </row>
    <row r="13" spans="1:22" x14ac:dyDescent="0.25">
      <c r="A13" s="2"/>
      <c r="B13" s="2"/>
      <c r="C13" s="2"/>
      <c r="D13" s="2"/>
      <c r="E13" s="2"/>
      <c r="F13" s="59"/>
      <c r="G13" s="2"/>
      <c r="H13" s="2"/>
      <c r="I13" s="2"/>
      <c r="J13" s="2"/>
      <c r="K13" s="2"/>
      <c r="L13" s="2"/>
      <c r="M13" s="2"/>
      <c r="N13" s="55"/>
      <c r="O13" s="55"/>
      <c r="P13" s="55"/>
      <c r="Q13" s="55"/>
      <c r="R13" s="2"/>
      <c r="S13" s="2"/>
      <c r="T13" s="58"/>
    </row>
    <row r="14" spans="1:22" x14ac:dyDescent="0.25">
      <c r="A14" s="2"/>
      <c r="B14" s="2"/>
      <c r="C14" s="2"/>
      <c r="D14" s="2"/>
      <c r="E14" s="2"/>
      <c r="F14" s="5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2" s="60" customFormat="1" x14ac:dyDescent="0.25">
      <c r="A15" s="60" t="s">
        <v>68</v>
      </c>
    </row>
    <row r="16" spans="1:22" s="61" customFormat="1" x14ac:dyDescent="0.25">
      <c r="A16" s="61" t="s">
        <v>69</v>
      </c>
    </row>
  </sheetData>
  <sortState ref="A3:T12">
    <sortCondition descending="1" ref="T3"/>
  </sortState>
  <mergeCells count="1">
    <mergeCell ref="A1:T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V14" sqref="V14"/>
    </sheetView>
  </sheetViews>
  <sheetFormatPr defaultColWidth="9" defaultRowHeight="15" x14ac:dyDescent="0.25"/>
  <cols>
    <col min="1" max="1" width="4.85546875" style="3" customWidth="1"/>
    <col min="2" max="2" width="17.85546875" style="3" customWidth="1"/>
    <col min="3" max="3" width="18.140625" style="3" customWidth="1"/>
    <col min="4" max="5" width="9.140625" style="3" customWidth="1"/>
    <col min="6" max="6" width="9.140625" style="62" customWidth="1"/>
    <col min="7" max="20" width="9.140625" style="3" customWidth="1"/>
    <col min="21" max="23" width="9" style="2"/>
    <col min="24" max="256" width="9" style="3"/>
    <col min="257" max="257" width="4.85546875" style="3" customWidth="1"/>
    <col min="258" max="258" width="17.85546875" style="3" customWidth="1"/>
    <col min="259" max="259" width="18.140625" style="3" customWidth="1"/>
    <col min="260" max="276" width="9.140625" style="3" customWidth="1"/>
    <col min="277" max="512" width="9" style="3"/>
    <col min="513" max="513" width="4.85546875" style="3" customWidth="1"/>
    <col min="514" max="514" width="17.85546875" style="3" customWidth="1"/>
    <col min="515" max="515" width="18.140625" style="3" customWidth="1"/>
    <col min="516" max="532" width="9.140625" style="3" customWidth="1"/>
    <col min="533" max="768" width="9" style="3"/>
    <col min="769" max="769" width="4.85546875" style="3" customWidth="1"/>
    <col min="770" max="770" width="17.85546875" style="3" customWidth="1"/>
    <col min="771" max="771" width="18.140625" style="3" customWidth="1"/>
    <col min="772" max="788" width="9.140625" style="3" customWidth="1"/>
    <col min="789" max="1024" width="9" style="3"/>
    <col min="1025" max="1025" width="4.85546875" style="3" customWidth="1"/>
    <col min="1026" max="1026" width="17.85546875" style="3" customWidth="1"/>
    <col min="1027" max="1027" width="18.140625" style="3" customWidth="1"/>
    <col min="1028" max="1044" width="9.140625" style="3" customWidth="1"/>
    <col min="1045" max="1280" width="9" style="3"/>
    <col min="1281" max="1281" width="4.85546875" style="3" customWidth="1"/>
    <col min="1282" max="1282" width="17.85546875" style="3" customWidth="1"/>
    <col min="1283" max="1283" width="18.140625" style="3" customWidth="1"/>
    <col min="1284" max="1300" width="9.140625" style="3" customWidth="1"/>
    <col min="1301" max="1536" width="9" style="3"/>
    <col min="1537" max="1537" width="4.85546875" style="3" customWidth="1"/>
    <col min="1538" max="1538" width="17.85546875" style="3" customWidth="1"/>
    <col min="1539" max="1539" width="18.140625" style="3" customWidth="1"/>
    <col min="1540" max="1556" width="9.140625" style="3" customWidth="1"/>
    <col min="1557" max="1792" width="9" style="3"/>
    <col min="1793" max="1793" width="4.85546875" style="3" customWidth="1"/>
    <col min="1794" max="1794" width="17.85546875" style="3" customWidth="1"/>
    <col min="1795" max="1795" width="18.140625" style="3" customWidth="1"/>
    <col min="1796" max="1812" width="9.140625" style="3" customWidth="1"/>
    <col min="1813" max="2048" width="9" style="3"/>
    <col min="2049" max="2049" width="4.85546875" style="3" customWidth="1"/>
    <col min="2050" max="2050" width="17.85546875" style="3" customWidth="1"/>
    <col min="2051" max="2051" width="18.140625" style="3" customWidth="1"/>
    <col min="2052" max="2068" width="9.140625" style="3" customWidth="1"/>
    <col min="2069" max="2304" width="9" style="3"/>
    <col min="2305" max="2305" width="4.85546875" style="3" customWidth="1"/>
    <col min="2306" max="2306" width="17.85546875" style="3" customWidth="1"/>
    <col min="2307" max="2307" width="18.140625" style="3" customWidth="1"/>
    <col min="2308" max="2324" width="9.140625" style="3" customWidth="1"/>
    <col min="2325" max="2560" width="9" style="3"/>
    <col min="2561" max="2561" width="4.85546875" style="3" customWidth="1"/>
    <col min="2562" max="2562" width="17.85546875" style="3" customWidth="1"/>
    <col min="2563" max="2563" width="18.140625" style="3" customWidth="1"/>
    <col min="2564" max="2580" width="9.140625" style="3" customWidth="1"/>
    <col min="2581" max="2816" width="9" style="3"/>
    <col min="2817" max="2817" width="4.85546875" style="3" customWidth="1"/>
    <col min="2818" max="2818" width="17.85546875" style="3" customWidth="1"/>
    <col min="2819" max="2819" width="18.140625" style="3" customWidth="1"/>
    <col min="2820" max="2836" width="9.140625" style="3" customWidth="1"/>
    <col min="2837" max="3072" width="9" style="3"/>
    <col min="3073" max="3073" width="4.85546875" style="3" customWidth="1"/>
    <col min="3074" max="3074" width="17.85546875" style="3" customWidth="1"/>
    <col min="3075" max="3075" width="18.140625" style="3" customWidth="1"/>
    <col min="3076" max="3092" width="9.140625" style="3" customWidth="1"/>
    <col min="3093" max="3328" width="9" style="3"/>
    <col min="3329" max="3329" width="4.85546875" style="3" customWidth="1"/>
    <col min="3330" max="3330" width="17.85546875" style="3" customWidth="1"/>
    <col min="3331" max="3331" width="18.140625" style="3" customWidth="1"/>
    <col min="3332" max="3348" width="9.140625" style="3" customWidth="1"/>
    <col min="3349" max="3584" width="9" style="3"/>
    <col min="3585" max="3585" width="4.85546875" style="3" customWidth="1"/>
    <col min="3586" max="3586" width="17.85546875" style="3" customWidth="1"/>
    <col min="3587" max="3587" width="18.140625" style="3" customWidth="1"/>
    <col min="3588" max="3604" width="9.140625" style="3" customWidth="1"/>
    <col min="3605" max="3840" width="9" style="3"/>
    <col min="3841" max="3841" width="4.85546875" style="3" customWidth="1"/>
    <col min="3842" max="3842" width="17.85546875" style="3" customWidth="1"/>
    <col min="3843" max="3843" width="18.140625" style="3" customWidth="1"/>
    <col min="3844" max="3860" width="9.140625" style="3" customWidth="1"/>
    <col min="3861" max="4096" width="9" style="3"/>
    <col min="4097" max="4097" width="4.85546875" style="3" customWidth="1"/>
    <col min="4098" max="4098" width="17.85546875" style="3" customWidth="1"/>
    <col min="4099" max="4099" width="18.140625" style="3" customWidth="1"/>
    <col min="4100" max="4116" width="9.140625" style="3" customWidth="1"/>
    <col min="4117" max="4352" width="9" style="3"/>
    <col min="4353" max="4353" width="4.85546875" style="3" customWidth="1"/>
    <col min="4354" max="4354" width="17.85546875" style="3" customWidth="1"/>
    <col min="4355" max="4355" width="18.140625" style="3" customWidth="1"/>
    <col min="4356" max="4372" width="9.140625" style="3" customWidth="1"/>
    <col min="4373" max="4608" width="9" style="3"/>
    <col min="4609" max="4609" width="4.85546875" style="3" customWidth="1"/>
    <col min="4610" max="4610" width="17.85546875" style="3" customWidth="1"/>
    <col min="4611" max="4611" width="18.140625" style="3" customWidth="1"/>
    <col min="4612" max="4628" width="9.140625" style="3" customWidth="1"/>
    <col min="4629" max="4864" width="9" style="3"/>
    <col min="4865" max="4865" width="4.85546875" style="3" customWidth="1"/>
    <col min="4866" max="4866" width="17.85546875" style="3" customWidth="1"/>
    <col min="4867" max="4867" width="18.140625" style="3" customWidth="1"/>
    <col min="4868" max="4884" width="9.140625" style="3" customWidth="1"/>
    <col min="4885" max="5120" width="9" style="3"/>
    <col min="5121" max="5121" width="4.85546875" style="3" customWidth="1"/>
    <col min="5122" max="5122" width="17.85546875" style="3" customWidth="1"/>
    <col min="5123" max="5123" width="18.140625" style="3" customWidth="1"/>
    <col min="5124" max="5140" width="9.140625" style="3" customWidth="1"/>
    <col min="5141" max="5376" width="9" style="3"/>
    <col min="5377" max="5377" width="4.85546875" style="3" customWidth="1"/>
    <col min="5378" max="5378" width="17.85546875" style="3" customWidth="1"/>
    <col min="5379" max="5379" width="18.140625" style="3" customWidth="1"/>
    <col min="5380" max="5396" width="9.140625" style="3" customWidth="1"/>
    <col min="5397" max="5632" width="9" style="3"/>
    <col min="5633" max="5633" width="4.85546875" style="3" customWidth="1"/>
    <col min="5634" max="5634" width="17.85546875" style="3" customWidth="1"/>
    <col min="5635" max="5635" width="18.140625" style="3" customWidth="1"/>
    <col min="5636" max="5652" width="9.140625" style="3" customWidth="1"/>
    <col min="5653" max="5888" width="9" style="3"/>
    <col min="5889" max="5889" width="4.85546875" style="3" customWidth="1"/>
    <col min="5890" max="5890" width="17.85546875" style="3" customWidth="1"/>
    <col min="5891" max="5891" width="18.140625" style="3" customWidth="1"/>
    <col min="5892" max="5908" width="9.140625" style="3" customWidth="1"/>
    <col min="5909" max="6144" width="9" style="3"/>
    <col min="6145" max="6145" width="4.85546875" style="3" customWidth="1"/>
    <col min="6146" max="6146" width="17.85546875" style="3" customWidth="1"/>
    <col min="6147" max="6147" width="18.140625" style="3" customWidth="1"/>
    <col min="6148" max="6164" width="9.140625" style="3" customWidth="1"/>
    <col min="6165" max="6400" width="9" style="3"/>
    <col min="6401" max="6401" width="4.85546875" style="3" customWidth="1"/>
    <col min="6402" max="6402" width="17.85546875" style="3" customWidth="1"/>
    <col min="6403" max="6403" width="18.140625" style="3" customWidth="1"/>
    <col min="6404" max="6420" width="9.140625" style="3" customWidth="1"/>
    <col min="6421" max="6656" width="9" style="3"/>
    <col min="6657" max="6657" width="4.85546875" style="3" customWidth="1"/>
    <col min="6658" max="6658" width="17.85546875" style="3" customWidth="1"/>
    <col min="6659" max="6659" width="18.140625" style="3" customWidth="1"/>
    <col min="6660" max="6676" width="9.140625" style="3" customWidth="1"/>
    <col min="6677" max="6912" width="9" style="3"/>
    <col min="6913" max="6913" width="4.85546875" style="3" customWidth="1"/>
    <col min="6914" max="6914" width="17.85546875" style="3" customWidth="1"/>
    <col min="6915" max="6915" width="18.140625" style="3" customWidth="1"/>
    <col min="6916" max="6932" width="9.140625" style="3" customWidth="1"/>
    <col min="6933" max="7168" width="9" style="3"/>
    <col min="7169" max="7169" width="4.85546875" style="3" customWidth="1"/>
    <col min="7170" max="7170" width="17.85546875" style="3" customWidth="1"/>
    <col min="7171" max="7171" width="18.140625" style="3" customWidth="1"/>
    <col min="7172" max="7188" width="9.140625" style="3" customWidth="1"/>
    <col min="7189" max="7424" width="9" style="3"/>
    <col min="7425" max="7425" width="4.85546875" style="3" customWidth="1"/>
    <col min="7426" max="7426" width="17.85546875" style="3" customWidth="1"/>
    <col min="7427" max="7427" width="18.140625" style="3" customWidth="1"/>
    <col min="7428" max="7444" width="9.140625" style="3" customWidth="1"/>
    <col min="7445" max="7680" width="9" style="3"/>
    <col min="7681" max="7681" width="4.85546875" style="3" customWidth="1"/>
    <col min="7682" max="7682" width="17.85546875" style="3" customWidth="1"/>
    <col min="7683" max="7683" width="18.140625" style="3" customWidth="1"/>
    <col min="7684" max="7700" width="9.140625" style="3" customWidth="1"/>
    <col min="7701" max="7936" width="9" style="3"/>
    <col min="7937" max="7937" width="4.85546875" style="3" customWidth="1"/>
    <col min="7938" max="7938" width="17.85546875" style="3" customWidth="1"/>
    <col min="7939" max="7939" width="18.140625" style="3" customWidth="1"/>
    <col min="7940" max="7956" width="9.140625" style="3" customWidth="1"/>
    <col min="7957" max="8192" width="9" style="3"/>
    <col min="8193" max="8193" width="4.85546875" style="3" customWidth="1"/>
    <col min="8194" max="8194" width="17.85546875" style="3" customWidth="1"/>
    <col min="8195" max="8195" width="18.140625" style="3" customWidth="1"/>
    <col min="8196" max="8212" width="9.140625" style="3" customWidth="1"/>
    <col min="8213" max="8448" width="9" style="3"/>
    <col min="8449" max="8449" width="4.85546875" style="3" customWidth="1"/>
    <col min="8450" max="8450" width="17.85546875" style="3" customWidth="1"/>
    <col min="8451" max="8451" width="18.140625" style="3" customWidth="1"/>
    <col min="8452" max="8468" width="9.140625" style="3" customWidth="1"/>
    <col min="8469" max="8704" width="9" style="3"/>
    <col min="8705" max="8705" width="4.85546875" style="3" customWidth="1"/>
    <col min="8706" max="8706" width="17.85546875" style="3" customWidth="1"/>
    <col min="8707" max="8707" width="18.140625" style="3" customWidth="1"/>
    <col min="8708" max="8724" width="9.140625" style="3" customWidth="1"/>
    <col min="8725" max="8960" width="9" style="3"/>
    <col min="8961" max="8961" width="4.85546875" style="3" customWidth="1"/>
    <col min="8962" max="8962" width="17.85546875" style="3" customWidth="1"/>
    <col min="8963" max="8963" width="18.140625" style="3" customWidth="1"/>
    <col min="8964" max="8980" width="9.140625" style="3" customWidth="1"/>
    <col min="8981" max="9216" width="9" style="3"/>
    <col min="9217" max="9217" width="4.85546875" style="3" customWidth="1"/>
    <col min="9218" max="9218" width="17.85546875" style="3" customWidth="1"/>
    <col min="9219" max="9219" width="18.140625" style="3" customWidth="1"/>
    <col min="9220" max="9236" width="9.140625" style="3" customWidth="1"/>
    <col min="9237" max="9472" width="9" style="3"/>
    <col min="9473" max="9473" width="4.85546875" style="3" customWidth="1"/>
    <col min="9474" max="9474" width="17.85546875" style="3" customWidth="1"/>
    <col min="9475" max="9475" width="18.140625" style="3" customWidth="1"/>
    <col min="9476" max="9492" width="9.140625" style="3" customWidth="1"/>
    <col min="9493" max="9728" width="9" style="3"/>
    <col min="9729" max="9729" width="4.85546875" style="3" customWidth="1"/>
    <col min="9730" max="9730" width="17.85546875" style="3" customWidth="1"/>
    <col min="9731" max="9731" width="18.140625" style="3" customWidth="1"/>
    <col min="9732" max="9748" width="9.140625" style="3" customWidth="1"/>
    <col min="9749" max="9984" width="9" style="3"/>
    <col min="9985" max="9985" width="4.85546875" style="3" customWidth="1"/>
    <col min="9986" max="9986" width="17.85546875" style="3" customWidth="1"/>
    <col min="9987" max="9987" width="18.140625" style="3" customWidth="1"/>
    <col min="9988" max="10004" width="9.140625" style="3" customWidth="1"/>
    <col min="10005" max="10240" width="9" style="3"/>
    <col min="10241" max="10241" width="4.85546875" style="3" customWidth="1"/>
    <col min="10242" max="10242" width="17.85546875" style="3" customWidth="1"/>
    <col min="10243" max="10243" width="18.140625" style="3" customWidth="1"/>
    <col min="10244" max="10260" width="9.140625" style="3" customWidth="1"/>
    <col min="10261" max="10496" width="9" style="3"/>
    <col min="10497" max="10497" width="4.85546875" style="3" customWidth="1"/>
    <col min="10498" max="10498" width="17.85546875" style="3" customWidth="1"/>
    <col min="10499" max="10499" width="18.140625" style="3" customWidth="1"/>
    <col min="10500" max="10516" width="9.140625" style="3" customWidth="1"/>
    <col min="10517" max="10752" width="9" style="3"/>
    <col min="10753" max="10753" width="4.85546875" style="3" customWidth="1"/>
    <col min="10754" max="10754" width="17.85546875" style="3" customWidth="1"/>
    <col min="10755" max="10755" width="18.140625" style="3" customWidth="1"/>
    <col min="10756" max="10772" width="9.140625" style="3" customWidth="1"/>
    <col min="10773" max="11008" width="9" style="3"/>
    <col min="11009" max="11009" width="4.85546875" style="3" customWidth="1"/>
    <col min="11010" max="11010" width="17.85546875" style="3" customWidth="1"/>
    <col min="11011" max="11011" width="18.140625" style="3" customWidth="1"/>
    <col min="11012" max="11028" width="9.140625" style="3" customWidth="1"/>
    <col min="11029" max="11264" width="9" style="3"/>
    <col min="11265" max="11265" width="4.85546875" style="3" customWidth="1"/>
    <col min="11266" max="11266" width="17.85546875" style="3" customWidth="1"/>
    <col min="11267" max="11267" width="18.140625" style="3" customWidth="1"/>
    <col min="11268" max="11284" width="9.140625" style="3" customWidth="1"/>
    <col min="11285" max="11520" width="9" style="3"/>
    <col min="11521" max="11521" width="4.85546875" style="3" customWidth="1"/>
    <col min="11522" max="11522" width="17.85546875" style="3" customWidth="1"/>
    <col min="11523" max="11523" width="18.140625" style="3" customWidth="1"/>
    <col min="11524" max="11540" width="9.140625" style="3" customWidth="1"/>
    <col min="11541" max="11776" width="9" style="3"/>
    <col min="11777" max="11777" width="4.85546875" style="3" customWidth="1"/>
    <col min="11778" max="11778" width="17.85546875" style="3" customWidth="1"/>
    <col min="11779" max="11779" width="18.140625" style="3" customWidth="1"/>
    <col min="11780" max="11796" width="9.140625" style="3" customWidth="1"/>
    <col min="11797" max="12032" width="9" style="3"/>
    <col min="12033" max="12033" width="4.85546875" style="3" customWidth="1"/>
    <col min="12034" max="12034" width="17.85546875" style="3" customWidth="1"/>
    <col min="12035" max="12035" width="18.140625" style="3" customWidth="1"/>
    <col min="12036" max="12052" width="9.140625" style="3" customWidth="1"/>
    <col min="12053" max="12288" width="9" style="3"/>
    <col min="12289" max="12289" width="4.85546875" style="3" customWidth="1"/>
    <col min="12290" max="12290" width="17.85546875" style="3" customWidth="1"/>
    <col min="12291" max="12291" width="18.140625" style="3" customWidth="1"/>
    <col min="12292" max="12308" width="9.140625" style="3" customWidth="1"/>
    <col min="12309" max="12544" width="9" style="3"/>
    <col min="12545" max="12545" width="4.85546875" style="3" customWidth="1"/>
    <col min="12546" max="12546" width="17.85546875" style="3" customWidth="1"/>
    <col min="12547" max="12547" width="18.140625" style="3" customWidth="1"/>
    <col min="12548" max="12564" width="9.140625" style="3" customWidth="1"/>
    <col min="12565" max="12800" width="9" style="3"/>
    <col min="12801" max="12801" width="4.85546875" style="3" customWidth="1"/>
    <col min="12802" max="12802" width="17.85546875" style="3" customWidth="1"/>
    <col min="12803" max="12803" width="18.140625" style="3" customWidth="1"/>
    <col min="12804" max="12820" width="9.140625" style="3" customWidth="1"/>
    <col min="12821" max="13056" width="9" style="3"/>
    <col min="13057" max="13057" width="4.85546875" style="3" customWidth="1"/>
    <col min="13058" max="13058" width="17.85546875" style="3" customWidth="1"/>
    <col min="13059" max="13059" width="18.140625" style="3" customWidth="1"/>
    <col min="13060" max="13076" width="9.140625" style="3" customWidth="1"/>
    <col min="13077" max="13312" width="9" style="3"/>
    <col min="13313" max="13313" width="4.85546875" style="3" customWidth="1"/>
    <col min="13314" max="13314" width="17.85546875" style="3" customWidth="1"/>
    <col min="13315" max="13315" width="18.140625" style="3" customWidth="1"/>
    <col min="13316" max="13332" width="9.140625" style="3" customWidth="1"/>
    <col min="13333" max="13568" width="9" style="3"/>
    <col min="13569" max="13569" width="4.85546875" style="3" customWidth="1"/>
    <col min="13570" max="13570" width="17.85546875" style="3" customWidth="1"/>
    <col min="13571" max="13571" width="18.140625" style="3" customWidth="1"/>
    <col min="13572" max="13588" width="9.140625" style="3" customWidth="1"/>
    <col min="13589" max="13824" width="9" style="3"/>
    <col min="13825" max="13825" width="4.85546875" style="3" customWidth="1"/>
    <col min="13826" max="13826" width="17.85546875" style="3" customWidth="1"/>
    <col min="13827" max="13827" width="18.140625" style="3" customWidth="1"/>
    <col min="13828" max="13844" width="9.140625" style="3" customWidth="1"/>
    <col min="13845" max="14080" width="9" style="3"/>
    <col min="14081" max="14081" width="4.85546875" style="3" customWidth="1"/>
    <col min="14082" max="14082" width="17.85546875" style="3" customWidth="1"/>
    <col min="14083" max="14083" width="18.140625" style="3" customWidth="1"/>
    <col min="14084" max="14100" width="9.140625" style="3" customWidth="1"/>
    <col min="14101" max="14336" width="9" style="3"/>
    <col min="14337" max="14337" width="4.85546875" style="3" customWidth="1"/>
    <col min="14338" max="14338" width="17.85546875" style="3" customWidth="1"/>
    <col min="14339" max="14339" width="18.140625" style="3" customWidth="1"/>
    <col min="14340" max="14356" width="9.140625" style="3" customWidth="1"/>
    <col min="14357" max="14592" width="9" style="3"/>
    <col min="14593" max="14593" width="4.85546875" style="3" customWidth="1"/>
    <col min="14594" max="14594" width="17.85546875" style="3" customWidth="1"/>
    <col min="14595" max="14595" width="18.140625" style="3" customWidth="1"/>
    <col min="14596" max="14612" width="9.140625" style="3" customWidth="1"/>
    <col min="14613" max="14848" width="9" style="3"/>
    <col min="14849" max="14849" width="4.85546875" style="3" customWidth="1"/>
    <col min="14850" max="14850" width="17.85546875" style="3" customWidth="1"/>
    <col min="14851" max="14851" width="18.140625" style="3" customWidth="1"/>
    <col min="14852" max="14868" width="9.140625" style="3" customWidth="1"/>
    <col min="14869" max="15104" width="9" style="3"/>
    <col min="15105" max="15105" width="4.85546875" style="3" customWidth="1"/>
    <col min="15106" max="15106" width="17.85546875" style="3" customWidth="1"/>
    <col min="15107" max="15107" width="18.140625" style="3" customWidth="1"/>
    <col min="15108" max="15124" width="9.140625" style="3" customWidth="1"/>
    <col min="15125" max="15360" width="9" style="3"/>
    <col min="15361" max="15361" width="4.85546875" style="3" customWidth="1"/>
    <col min="15362" max="15362" width="17.85546875" style="3" customWidth="1"/>
    <col min="15363" max="15363" width="18.140625" style="3" customWidth="1"/>
    <col min="15364" max="15380" width="9.140625" style="3" customWidth="1"/>
    <col min="15381" max="15616" width="9" style="3"/>
    <col min="15617" max="15617" width="4.85546875" style="3" customWidth="1"/>
    <col min="15618" max="15618" width="17.85546875" style="3" customWidth="1"/>
    <col min="15619" max="15619" width="18.140625" style="3" customWidth="1"/>
    <col min="15620" max="15636" width="9.140625" style="3" customWidth="1"/>
    <col min="15637" max="15872" width="9" style="3"/>
    <col min="15873" max="15873" width="4.85546875" style="3" customWidth="1"/>
    <col min="15874" max="15874" width="17.85546875" style="3" customWidth="1"/>
    <col min="15875" max="15875" width="18.140625" style="3" customWidth="1"/>
    <col min="15876" max="15892" width="9.140625" style="3" customWidth="1"/>
    <col min="15893" max="16128" width="9" style="3"/>
    <col min="16129" max="16129" width="4.85546875" style="3" customWidth="1"/>
    <col min="16130" max="16130" width="17.85546875" style="3" customWidth="1"/>
    <col min="16131" max="16131" width="18.140625" style="3" customWidth="1"/>
    <col min="16132" max="16148" width="9.140625" style="3" customWidth="1"/>
    <col min="16149" max="16384" width="9" style="3"/>
  </cols>
  <sheetData>
    <row r="1" spans="1:23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3" ht="159.75" thickBot="1" x14ac:dyDescent="0.3">
      <c r="A2" s="10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</row>
    <row r="3" spans="1:23" x14ac:dyDescent="0.25">
      <c r="A3" s="13" t="s">
        <v>21</v>
      </c>
      <c r="B3" s="166" t="s">
        <v>52</v>
      </c>
      <c r="C3" s="15" t="s">
        <v>42</v>
      </c>
      <c r="D3" s="16">
        <f>100-(71.18-71.18)/71.18*50</f>
        <v>100</v>
      </c>
      <c r="E3" s="16"/>
      <c r="F3" s="110"/>
      <c r="G3" s="17"/>
      <c r="H3" s="66">
        <f>100-(100.37-88.27)/88.27*50</f>
        <v>93.146029228503451</v>
      </c>
      <c r="I3" s="66">
        <f>100-(66.02-59.08)/59.08*50</f>
        <v>94.126607989167226</v>
      </c>
      <c r="J3" s="17">
        <f>100-(55.15-51)/51*50</f>
        <v>95.931372549019613</v>
      </c>
      <c r="K3" s="17"/>
      <c r="L3" s="16">
        <f>100-(25.73-25.73)/25.73*50</f>
        <v>100</v>
      </c>
      <c r="M3" s="17">
        <f>100-(108.55-106.55)/106.55*50</f>
        <v>99.061473486625999</v>
      </c>
      <c r="N3" s="17"/>
      <c r="O3" s="17"/>
      <c r="P3" s="17"/>
      <c r="Q3" s="16">
        <f>100-(51.62-51.62)/51.62*50</f>
        <v>100</v>
      </c>
      <c r="R3" s="16">
        <f>100-(51.03-51.03)/51.03*50</f>
        <v>100</v>
      </c>
      <c r="S3" s="111">
        <f>100-(59.87-59.87)/59.87*50</f>
        <v>100</v>
      </c>
      <c r="T3" s="22">
        <f>SUM(D3:S3)-H3-I3</f>
        <v>694.99284603564547</v>
      </c>
    </row>
    <row r="4" spans="1:23" x14ac:dyDescent="0.25">
      <c r="A4" s="24" t="s">
        <v>24</v>
      </c>
      <c r="B4" s="41" t="s">
        <v>124</v>
      </c>
      <c r="C4" s="26" t="s">
        <v>97</v>
      </c>
      <c r="D4" s="42">
        <f>100-(75.48-71.18)/71.18*50</f>
        <v>96.979488620398996</v>
      </c>
      <c r="E4" s="42">
        <f>100-(92.1-85.78)/85.78*50</f>
        <v>96.316157612497094</v>
      </c>
      <c r="F4" s="42">
        <f>100-(44.97-44.97)/44.97*50</f>
        <v>100</v>
      </c>
      <c r="G4" s="136" t="s">
        <v>33</v>
      </c>
      <c r="H4" s="136" t="s">
        <v>33</v>
      </c>
      <c r="I4" s="137">
        <f>100-(68.58-59.08)/59.08*50</f>
        <v>91.960054163845626</v>
      </c>
      <c r="J4" s="19"/>
      <c r="K4" s="21"/>
      <c r="L4" s="42">
        <f>100-(27.72-25.73)/25.73*50</f>
        <v>96.13291877186164</v>
      </c>
      <c r="M4" s="27">
        <f>100-(106.55-106.55)/106.55*50</f>
        <v>100</v>
      </c>
      <c r="N4" s="19"/>
      <c r="O4" s="18">
        <f>100-(127.45-101.62)/101.62*50</f>
        <v>87.290887620547139</v>
      </c>
      <c r="P4" s="19">
        <f>100-(48.28-43.7)/43.7*50</f>
        <v>94.759725400457668</v>
      </c>
      <c r="Q4" s="42">
        <f>100-(54.75-51.62)/51.62*50</f>
        <v>96.968229368461834</v>
      </c>
      <c r="R4" s="137">
        <f>100-(69.17-51.03)/51.03*50</f>
        <v>82.226141485400746</v>
      </c>
      <c r="S4" s="138" t="s">
        <v>33</v>
      </c>
      <c r="T4" s="28">
        <f>SUM(D4:S4)-I4-O4-R4</f>
        <v>681.15651977367725</v>
      </c>
    </row>
    <row r="5" spans="1:23" x14ac:dyDescent="0.25">
      <c r="A5" s="24" t="s">
        <v>27</v>
      </c>
      <c r="B5" s="41" t="s">
        <v>125</v>
      </c>
      <c r="C5" s="26" t="s">
        <v>39</v>
      </c>
      <c r="D5" s="21"/>
      <c r="E5" s="21"/>
      <c r="F5" s="19"/>
      <c r="G5" s="19"/>
      <c r="H5" s="42">
        <f>100-(137.17-88.27)/88.27*50</f>
        <v>72.300894981307351</v>
      </c>
      <c r="I5" s="42">
        <f>100-(80.4-59.08)/59.08*50</f>
        <v>81.956668923493567</v>
      </c>
      <c r="J5" s="19">
        <f>100-(65.03-51)/51*50</f>
        <v>86.245098039215691</v>
      </c>
      <c r="K5" s="19">
        <f>100-(137.08-98.32)/98.32*50</f>
        <v>80.288852725793319</v>
      </c>
      <c r="L5" s="42">
        <f>100-(32.17-25.73)/25.73*50</f>
        <v>87.485425573260784</v>
      </c>
      <c r="M5" s="27">
        <f>100-(144.33-106.55)/106.55*50</f>
        <v>82.271234162365076</v>
      </c>
      <c r="N5" s="19"/>
      <c r="O5" s="19"/>
      <c r="P5" s="19">
        <f>100-(43.7-43.7)/43.7*50</f>
        <v>100</v>
      </c>
      <c r="Q5" s="85" t="s">
        <v>33</v>
      </c>
      <c r="R5" s="19"/>
      <c r="S5" s="19"/>
      <c r="T5" s="28">
        <f>SUM(D5:S5)</f>
        <v>590.54817440543582</v>
      </c>
    </row>
    <row r="6" spans="1:23" x14ac:dyDescent="0.25">
      <c r="A6" s="24" t="s">
        <v>30</v>
      </c>
      <c r="B6" s="41" t="s">
        <v>127</v>
      </c>
      <c r="C6" s="26" t="s">
        <v>112</v>
      </c>
      <c r="D6" s="21">
        <f>100-(85.27-71.18)/71.18*50</f>
        <v>90.102556898005062</v>
      </c>
      <c r="E6" s="21">
        <f>100-(132.1-85.78)/85.78*50</f>
        <v>73.000699463744468</v>
      </c>
      <c r="F6" s="19"/>
      <c r="G6" s="23"/>
      <c r="H6" s="23"/>
      <c r="I6" s="23"/>
      <c r="J6" s="23"/>
      <c r="K6" s="23"/>
      <c r="L6" s="19"/>
      <c r="M6" s="19"/>
      <c r="N6" s="19">
        <f>100-(66.6-46.32)/46.32*50</f>
        <v>78.108808290155451</v>
      </c>
      <c r="O6" s="23"/>
      <c r="P6" s="19">
        <f>100-(46.45-43.7)/43.7*50</f>
        <v>96.853546910755142</v>
      </c>
      <c r="Q6" s="19">
        <f>100-(67.97-51.62)/51.62*50</f>
        <v>84.163115071677638</v>
      </c>
      <c r="R6" s="19">
        <f>100-(68.75-51.03)/51.03*50</f>
        <v>82.637664119145597</v>
      </c>
      <c r="S6" s="102">
        <f>100-(81.08-59.87)/59.87*50</f>
        <v>82.286621012193081</v>
      </c>
      <c r="T6" s="28">
        <f>SUM(D6:S6)</f>
        <v>587.15301176567641</v>
      </c>
    </row>
    <row r="7" spans="1:23" x14ac:dyDescent="0.25">
      <c r="A7" s="24" t="s">
        <v>34</v>
      </c>
      <c r="B7" s="41" t="s">
        <v>58</v>
      </c>
      <c r="C7" s="35" t="s">
        <v>59</v>
      </c>
      <c r="D7" s="42"/>
      <c r="E7" s="42"/>
      <c r="F7" s="40"/>
      <c r="G7" s="42">
        <f>100-(88.38-88.38)/88.38*50</f>
        <v>100</v>
      </c>
      <c r="H7" s="19">
        <f>100-(108.93-88.27)/88.27*50</f>
        <v>88.297269740568709</v>
      </c>
      <c r="I7" s="19">
        <f>100-(72.5-59.08)/59.08*50</f>
        <v>88.642518618821939</v>
      </c>
      <c r="J7" s="19">
        <f>100-(51-51)/51*50</f>
        <v>100</v>
      </c>
      <c r="K7" s="19"/>
      <c r="L7" s="42"/>
      <c r="M7" s="27"/>
      <c r="N7" s="19"/>
      <c r="O7" s="19"/>
      <c r="P7" s="19"/>
      <c r="Q7" s="19"/>
      <c r="R7" s="42">
        <f>100-(64.22-51.03)/51.03*50</f>
        <v>87.076229668822265</v>
      </c>
      <c r="S7" s="145">
        <f>100-(69.82-59.87)/59.87*50</f>
        <v>91.69032904626691</v>
      </c>
      <c r="T7" s="28">
        <f>SUM(D7:S7)</f>
        <v>555.70634707447982</v>
      </c>
    </row>
    <row r="8" spans="1:23" x14ac:dyDescent="0.25">
      <c r="A8" s="24" t="s">
        <v>37</v>
      </c>
      <c r="B8" s="41" t="s">
        <v>126</v>
      </c>
      <c r="C8" s="26" t="s">
        <v>45</v>
      </c>
      <c r="D8" s="21">
        <f>100-(109.42-71.18)/71.18*50</f>
        <v>73.138522056757523</v>
      </c>
      <c r="E8" s="21">
        <f>100-(127.47-85.78)/85.78*50</f>
        <v>75.699463744462577</v>
      </c>
      <c r="F8" s="19">
        <f>100-(59.1-44.97)/44.97*50</f>
        <v>84.289526350900601</v>
      </c>
      <c r="G8" s="19">
        <f>100-(116.32-88.38)/88.38*50</f>
        <v>84.193256392849065</v>
      </c>
      <c r="H8" s="42"/>
      <c r="I8" s="39"/>
      <c r="J8" s="19"/>
      <c r="K8" s="19">
        <f>100-(170.07-98.32)/98.32*50</f>
        <v>63.512001627339302</v>
      </c>
      <c r="L8" s="19">
        <f>100-(33.7-25.73)/25.73*50</f>
        <v>84.512242518460937</v>
      </c>
      <c r="M8" s="19">
        <f>100-(151.18-106.55)/106.55*50</f>
        <v>79.056780854059127</v>
      </c>
      <c r="N8" s="19"/>
      <c r="O8" s="19"/>
      <c r="P8" s="19"/>
      <c r="Q8" s="19"/>
      <c r="R8" s="42"/>
      <c r="S8" s="145"/>
      <c r="T8" s="28">
        <f>SUM(D8:S8)</f>
        <v>544.40179354482916</v>
      </c>
    </row>
    <row r="9" spans="1:23" x14ac:dyDescent="0.25">
      <c r="A9" s="24" t="s">
        <v>40</v>
      </c>
      <c r="B9" s="41" t="s">
        <v>113</v>
      </c>
      <c r="C9" s="26" t="s">
        <v>112</v>
      </c>
      <c r="D9" s="42">
        <f>100-(116.33-71.18)/71.18*50</f>
        <v>68.284630514189388</v>
      </c>
      <c r="E9" s="121">
        <f>100-(152.77-85.78)/85.78*50</f>
        <v>60.952436465376543</v>
      </c>
      <c r="F9" s="19"/>
      <c r="G9" s="23"/>
      <c r="H9" s="41"/>
      <c r="I9" s="42">
        <f>100-(99.35-59.08)/59.08*50</f>
        <v>65.919092755585652</v>
      </c>
      <c r="J9" s="19"/>
      <c r="K9" s="19"/>
      <c r="L9" s="23"/>
      <c r="M9" s="23"/>
      <c r="N9" s="19">
        <f>100-(73.97-46.32)/46.32*50</f>
        <v>70.153281519861835</v>
      </c>
      <c r="O9" s="23"/>
      <c r="P9" s="19">
        <f>100-(46.22-43.7)/43.7*50</f>
        <v>97.116704805491992</v>
      </c>
      <c r="Q9" s="42">
        <f>100-(72.43-51.62)/51.62*50</f>
        <v>79.843084075939544</v>
      </c>
      <c r="R9" s="19">
        <f>100-(72.52-51.03)/51.03*50</f>
        <v>78.943758573388209</v>
      </c>
      <c r="S9" s="31">
        <f>100-(94.65-59.87)/59.87*50</f>
        <v>70.953733088358092</v>
      </c>
      <c r="T9" s="28">
        <f>SUM(D9:S9)-E9</f>
        <v>531.21428533281471</v>
      </c>
    </row>
    <row r="10" spans="1:23" x14ac:dyDescent="0.25">
      <c r="A10" s="24" t="s">
        <v>43</v>
      </c>
      <c r="B10" s="41" t="s">
        <v>128</v>
      </c>
      <c r="C10" s="26" t="s">
        <v>71</v>
      </c>
      <c r="D10" s="21"/>
      <c r="E10" s="21">
        <f>100-(85.78-85.78)/85.78*50</f>
        <v>100</v>
      </c>
      <c r="F10" s="19"/>
      <c r="G10" s="19"/>
      <c r="H10" s="19"/>
      <c r="I10" s="19"/>
      <c r="J10" s="19"/>
      <c r="K10" s="19">
        <f>100-(98.32-98.32)/98.32*50</f>
        <v>100</v>
      </c>
      <c r="L10" s="19"/>
      <c r="M10" s="19"/>
      <c r="N10" s="19">
        <f>100-(46.32-46.32)/46.32*50</f>
        <v>100</v>
      </c>
      <c r="O10" s="19">
        <f>100-(101.62-101.62)/101.62*50</f>
        <v>100</v>
      </c>
      <c r="P10" s="19"/>
      <c r="Q10" s="42"/>
      <c r="R10" s="42"/>
      <c r="S10" s="145"/>
      <c r="T10" s="28">
        <f t="shared" ref="T10:T19" si="0">SUM(D10:S10)</f>
        <v>400</v>
      </c>
    </row>
    <row r="11" spans="1:23" x14ac:dyDescent="0.25">
      <c r="A11" s="24" t="s">
        <v>46</v>
      </c>
      <c r="B11" s="41" t="s">
        <v>129</v>
      </c>
      <c r="C11" s="26" t="s">
        <v>75</v>
      </c>
      <c r="D11" s="41"/>
      <c r="E11" s="42"/>
      <c r="F11" s="44"/>
      <c r="G11" s="23"/>
      <c r="H11" s="19">
        <f>100-(88.27-88.27)/88.27*50</f>
        <v>100</v>
      </c>
      <c r="I11" s="19">
        <f>100-(59.08-59.08)/59.08*50</f>
        <v>100</v>
      </c>
      <c r="J11" s="19"/>
      <c r="K11" s="21"/>
      <c r="L11" s="23"/>
      <c r="M11" s="23"/>
      <c r="N11" s="19"/>
      <c r="O11" s="19"/>
      <c r="P11" s="19"/>
      <c r="Q11" s="19"/>
      <c r="R11" s="42">
        <f>100-(57-51.03)/51.03*50</f>
        <v>94.150499706055257</v>
      </c>
      <c r="S11" s="23"/>
      <c r="T11" s="28">
        <f t="shared" si="0"/>
        <v>294.15049970605526</v>
      </c>
    </row>
    <row r="12" spans="1:23" x14ac:dyDescent="0.25">
      <c r="A12" s="24" t="s">
        <v>49</v>
      </c>
      <c r="B12" s="41" t="s">
        <v>105</v>
      </c>
      <c r="C12" s="26" t="s">
        <v>75</v>
      </c>
      <c r="D12" s="42">
        <f>100-(99.27-71.18)/71.18*50</f>
        <v>80.26833380162968</v>
      </c>
      <c r="E12" s="21">
        <f>100-(120.83-85.78)/85.78*50</f>
        <v>79.569829797155521</v>
      </c>
      <c r="F12" s="39"/>
      <c r="G12" s="19"/>
      <c r="H12" s="42"/>
      <c r="I12" s="42"/>
      <c r="J12" s="19"/>
      <c r="K12" s="21"/>
      <c r="L12" s="19"/>
      <c r="M12" s="19"/>
      <c r="N12" s="19"/>
      <c r="O12" s="19"/>
      <c r="P12" s="19"/>
      <c r="Q12" s="19"/>
      <c r="R12" s="19"/>
      <c r="S12" s="19"/>
      <c r="T12" s="28">
        <f t="shared" si="0"/>
        <v>159.8381635987852</v>
      </c>
      <c r="W12" s="58"/>
    </row>
    <row r="13" spans="1:23" x14ac:dyDescent="0.25">
      <c r="A13" s="24" t="s">
        <v>51</v>
      </c>
      <c r="B13" s="41" t="s">
        <v>130</v>
      </c>
      <c r="C13" s="26" t="s">
        <v>131</v>
      </c>
      <c r="D13" s="41"/>
      <c r="E13" s="41"/>
      <c r="F13" s="44"/>
      <c r="G13" s="23"/>
      <c r="H13" s="19">
        <f>100-(165.15-88.27)/88.27*50</f>
        <v>56.45179562705335</v>
      </c>
      <c r="I13" s="23"/>
      <c r="J13" s="23"/>
      <c r="K13" s="23"/>
      <c r="L13" s="19"/>
      <c r="M13" s="27">
        <f>100-(136.87-106.55)/106.55*50</f>
        <v>85.771938057250111</v>
      </c>
      <c r="N13" s="19"/>
      <c r="O13" s="23"/>
      <c r="P13" s="23"/>
      <c r="Q13" s="85" t="s">
        <v>33</v>
      </c>
      <c r="R13" s="19"/>
      <c r="S13" s="31"/>
      <c r="T13" s="28">
        <f t="shared" si="0"/>
        <v>142.22373368430345</v>
      </c>
    </row>
    <row r="14" spans="1:23" x14ac:dyDescent="0.25">
      <c r="A14" s="24" t="s">
        <v>53</v>
      </c>
      <c r="B14" s="41" t="s">
        <v>132</v>
      </c>
      <c r="C14" s="26" t="s">
        <v>133</v>
      </c>
      <c r="D14" s="41"/>
      <c r="E14" s="23"/>
      <c r="F14" s="44"/>
      <c r="G14" s="23"/>
      <c r="H14" s="23"/>
      <c r="I14" s="23"/>
      <c r="J14" s="23"/>
      <c r="K14" s="23"/>
      <c r="L14" s="23"/>
      <c r="M14" s="27"/>
      <c r="N14" s="19"/>
      <c r="O14" s="23"/>
      <c r="P14" s="23"/>
      <c r="Q14" s="19">
        <f>100-(53-51.62)/51.62*50</f>
        <v>98.663308795040678</v>
      </c>
      <c r="R14" s="23"/>
      <c r="S14" s="95"/>
      <c r="T14" s="28">
        <f t="shared" si="0"/>
        <v>98.663308795040678</v>
      </c>
    </row>
    <row r="15" spans="1:23" x14ac:dyDescent="0.25">
      <c r="A15" s="24" t="s">
        <v>55</v>
      </c>
      <c r="B15" s="41" t="s">
        <v>89</v>
      </c>
      <c r="C15" s="26" t="s">
        <v>90</v>
      </c>
      <c r="D15" s="42"/>
      <c r="E15" s="23"/>
      <c r="F15" s="44"/>
      <c r="G15" s="41"/>
      <c r="H15" s="41"/>
      <c r="I15" s="41"/>
      <c r="J15" s="23"/>
      <c r="K15" s="23"/>
      <c r="L15" s="19"/>
      <c r="M15" s="19">
        <f>100-(166.65-106.55)/106.55*50</f>
        <v>71.797278273111203</v>
      </c>
      <c r="N15" s="23"/>
      <c r="O15" s="23"/>
      <c r="P15" s="23"/>
      <c r="Q15" s="23"/>
      <c r="R15" s="19"/>
      <c r="S15" s="95"/>
      <c r="T15" s="28">
        <f t="shared" si="0"/>
        <v>71.797278273111203</v>
      </c>
    </row>
    <row r="16" spans="1:23" x14ac:dyDescent="0.25">
      <c r="A16" s="24" t="s">
        <v>57</v>
      </c>
      <c r="B16" s="41" t="s">
        <v>134</v>
      </c>
      <c r="C16" s="26" t="s">
        <v>135</v>
      </c>
      <c r="D16" s="42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>
        <f>100-(68.97-43.7)/43.7*50</f>
        <v>71.08695652173914</v>
      </c>
      <c r="Q16" s="19"/>
      <c r="R16" s="19"/>
      <c r="S16" s="21"/>
      <c r="T16" s="28">
        <f t="shared" si="0"/>
        <v>71.08695652173914</v>
      </c>
    </row>
    <row r="17" spans="1:20" x14ac:dyDescent="0.25">
      <c r="A17" s="24" t="s">
        <v>60</v>
      </c>
      <c r="B17" s="41" t="s">
        <v>136</v>
      </c>
      <c r="C17" s="26" t="s">
        <v>42</v>
      </c>
      <c r="D17" s="42"/>
      <c r="E17" s="19"/>
      <c r="F17" s="39"/>
      <c r="G17" s="19"/>
      <c r="H17" s="19"/>
      <c r="I17" s="19"/>
      <c r="J17" s="19"/>
      <c r="K17" s="19"/>
      <c r="L17" s="19"/>
      <c r="M17" s="19"/>
      <c r="N17" s="19"/>
      <c r="O17" s="19"/>
      <c r="P17" s="19">
        <f>100-(72.62-43.7)/43.7*50</f>
        <v>66.910755148741416</v>
      </c>
      <c r="Q17" s="85" t="s">
        <v>33</v>
      </c>
      <c r="R17" s="19"/>
      <c r="S17" s="31"/>
      <c r="T17" s="28">
        <f t="shared" si="0"/>
        <v>66.910755148741416</v>
      </c>
    </row>
    <row r="18" spans="1:20" x14ac:dyDescent="0.25">
      <c r="A18" s="24" t="s">
        <v>62</v>
      </c>
      <c r="B18" s="41" t="s">
        <v>158</v>
      </c>
      <c r="C18" s="26" t="s">
        <v>160</v>
      </c>
      <c r="D18" s="41"/>
      <c r="E18" s="19"/>
      <c r="F18" s="44"/>
      <c r="G18" s="23"/>
      <c r="H18" s="23"/>
      <c r="I18" s="23"/>
      <c r="J18" s="23"/>
      <c r="K18" s="23"/>
      <c r="L18" s="19"/>
      <c r="M18" s="19"/>
      <c r="N18" s="23"/>
      <c r="O18" s="23"/>
      <c r="P18" s="23"/>
      <c r="Q18" s="41"/>
      <c r="R18" s="19">
        <f>100-(94.25-51.03)/51.03*50</f>
        <v>57.652361356065065</v>
      </c>
      <c r="S18" s="31"/>
      <c r="T18" s="28">
        <f t="shared" si="0"/>
        <v>57.652361356065065</v>
      </c>
    </row>
    <row r="19" spans="1:20" ht="15.75" thickBot="1" x14ac:dyDescent="0.3">
      <c r="A19" s="45" t="s">
        <v>65</v>
      </c>
      <c r="B19" s="72" t="s">
        <v>137</v>
      </c>
      <c r="C19" s="47" t="s">
        <v>159</v>
      </c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>
        <f>100-(221.38-101.62)/101.62*50</f>
        <v>41.074591615823664</v>
      </c>
      <c r="P19" s="49"/>
      <c r="Q19" s="49"/>
      <c r="R19" s="167"/>
      <c r="S19" s="53"/>
      <c r="T19" s="54">
        <f t="shared" si="0"/>
        <v>41.074591615823664</v>
      </c>
    </row>
    <row r="20" spans="1:20" x14ac:dyDescent="0.25">
      <c r="A20" s="2"/>
      <c r="B20" s="2"/>
      <c r="C20" s="2"/>
      <c r="D20" s="2"/>
      <c r="E20" s="2"/>
      <c r="F20" s="59"/>
      <c r="G20" s="2"/>
      <c r="H20" s="2"/>
      <c r="I20" s="2"/>
      <c r="J20" s="2"/>
      <c r="K20" s="2"/>
      <c r="L20" s="55"/>
      <c r="M20" s="2"/>
      <c r="N20" s="2"/>
      <c r="O20" s="2"/>
      <c r="P20" s="2"/>
      <c r="Q20" s="2"/>
      <c r="R20" s="55"/>
      <c r="S20" s="55"/>
      <c r="T20" s="58"/>
    </row>
    <row r="21" spans="1:20" s="60" customFormat="1" x14ac:dyDescent="0.25">
      <c r="A21" s="60" t="s">
        <v>68</v>
      </c>
    </row>
    <row r="22" spans="1:20" s="61" customFormat="1" x14ac:dyDescent="0.25">
      <c r="A22" s="61" t="s">
        <v>69</v>
      </c>
    </row>
  </sheetData>
  <sortState ref="A3:T19">
    <sortCondition descending="1" ref="T3"/>
  </sortState>
  <mergeCells count="1">
    <mergeCell ref="A1:T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workbookViewId="0">
      <selection activeCell="Q16" sqref="Q16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1.85546875" style="3" customWidth="1"/>
    <col min="4" max="20" width="9.140625" style="3" customWidth="1"/>
    <col min="21" max="34" width="9" style="2"/>
    <col min="35" max="256" width="9" style="3"/>
    <col min="257" max="257" width="5.42578125" style="3" customWidth="1"/>
    <col min="258" max="258" width="18" style="3" customWidth="1"/>
    <col min="259" max="259" width="11.85546875" style="3" customWidth="1"/>
    <col min="260" max="276" width="9.140625" style="3" customWidth="1"/>
    <col min="277" max="512" width="9" style="3"/>
    <col min="513" max="513" width="5.42578125" style="3" customWidth="1"/>
    <col min="514" max="514" width="18" style="3" customWidth="1"/>
    <col min="515" max="515" width="11.85546875" style="3" customWidth="1"/>
    <col min="516" max="532" width="9.140625" style="3" customWidth="1"/>
    <col min="533" max="768" width="9" style="3"/>
    <col min="769" max="769" width="5.42578125" style="3" customWidth="1"/>
    <col min="770" max="770" width="18" style="3" customWidth="1"/>
    <col min="771" max="771" width="11.85546875" style="3" customWidth="1"/>
    <col min="772" max="788" width="9.140625" style="3" customWidth="1"/>
    <col min="789" max="1024" width="9" style="3"/>
    <col min="1025" max="1025" width="5.42578125" style="3" customWidth="1"/>
    <col min="1026" max="1026" width="18" style="3" customWidth="1"/>
    <col min="1027" max="1027" width="11.85546875" style="3" customWidth="1"/>
    <col min="1028" max="1044" width="9.140625" style="3" customWidth="1"/>
    <col min="1045" max="1280" width="9" style="3"/>
    <col min="1281" max="1281" width="5.42578125" style="3" customWidth="1"/>
    <col min="1282" max="1282" width="18" style="3" customWidth="1"/>
    <col min="1283" max="1283" width="11.85546875" style="3" customWidth="1"/>
    <col min="1284" max="1300" width="9.140625" style="3" customWidth="1"/>
    <col min="1301" max="1536" width="9" style="3"/>
    <col min="1537" max="1537" width="5.42578125" style="3" customWidth="1"/>
    <col min="1538" max="1538" width="18" style="3" customWidth="1"/>
    <col min="1539" max="1539" width="11.85546875" style="3" customWidth="1"/>
    <col min="1540" max="1556" width="9.140625" style="3" customWidth="1"/>
    <col min="1557" max="1792" width="9" style="3"/>
    <col min="1793" max="1793" width="5.42578125" style="3" customWidth="1"/>
    <col min="1794" max="1794" width="18" style="3" customWidth="1"/>
    <col min="1795" max="1795" width="11.85546875" style="3" customWidth="1"/>
    <col min="1796" max="1812" width="9.140625" style="3" customWidth="1"/>
    <col min="1813" max="2048" width="9" style="3"/>
    <col min="2049" max="2049" width="5.42578125" style="3" customWidth="1"/>
    <col min="2050" max="2050" width="18" style="3" customWidth="1"/>
    <col min="2051" max="2051" width="11.85546875" style="3" customWidth="1"/>
    <col min="2052" max="2068" width="9.140625" style="3" customWidth="1"/>
    <col min="2069" max="2304" width="9" style="3"/>
    <col min="2305" max="2305" width="5.42578125" style="3" customWidth="1"/>
    <col min="2306" max="2306" width="18" style="3" customWidth="1"/>
    <col min="2307" max="2307" width="11.85546875" style="3" customWidth="1"/>
    <col min="2308" max="2324" width="9.140625" style="3" customWidth="1"/>
    <col min="2325" max="2560" width="9" style="3"/>
    <col min="2561" max="2561" width="5.42578125" style="3" customWidth="1"/>
    <col min="2562" max="2562" width="18" style="3" customWidth="1"/>
    <col min="2563" max="2563" width="11.85546875" style="3" customWidth="1"/>
    <col min="2564" max="2580" width="9.140625" style="3" customWidth="1"/>
    <col min="2581" max="2816" width="9" style="3"/>
    <col min="2817" max="2817" width="5.42578125" style="3" customWidth="1"/>
    <col min="2818" max="2818" width="18" style="3" customWidth="1"/>
    <col min="2819" max="2819" width="11.85546875" style="3" customWidth="1"/>
    <col min="2820" max="2836" width="9.140625" style="3" customWidth="1"/>
    <col min="2837" max="3072" width="9" style="3"/>
    <col min="3073" max="3073" width="5.42578125" style="3" customWidth="1"/>
    <col min="3074" max="3074" width="18" style="3" customWidth="1"/>
    <col min="3075" max="3075" width="11.85546875" style="3" customWidth="1"/>
    <col min="3076" max="3092" width="9.140625" style="3" customWidth="1"/>
    <col min="3093" max="3328" width="9" style="3"/>
    <col min="3329" max="3329" width="5.42578125" style="3" customWidth="1"/>
    <col min="3330" max="3330" width="18" style="3" customWidth="1"/>
    <col min="3331" max="3331" width="11.85546875" style="3" customWidth="1"/>
    <col min="3332" max="3348" width="9.140625" style="3" customWidth="1"/>
    <col min="3349" max="3584" width="9" style="3"/>
    <col min="3585" max="3585" width="5.42578125" style="3" customWidth="1"/>
    <col min="3586" max="3586" width="18" style="3" customWidth="1"/>
    <col min="3587" max="3587" width="11.85546875" style="3" customWidth="1"/>
    <col min="3588" max="3604" width="9.140625" style="3" customWidth="1"/>
    <col min="3605" max="3840" width="9" style="3"/>
    <col min="3841" max="3841" width="5.42578125" style="3" customWidth="1"/>
    <col min="3842" max="3842" width="18" style="3" customWidth="1"/>
    <col min="3843" max="3843" width="11.85546875" style="3" customWidth="1"/>
    <col min="3844" max="3860" width="9.140625" style="3" customWidth="1"/>
    <col min="3861" max="4096" width="9" style="3"/>
    <col min="4097" max="4097" width="5.42578125" style="3" customWidth="1"/>
    <col min="4098" max="4098" width="18" style="3" customWidth="1"/>
    <col min="4099" max="4099" width="11.85546875" style="3" customWidth="1"/>
    <col min="4100" max="4116" width="9.140625" style="3" customWidth="1"/>
    <col min="4117" max="4352" width="9" style="3"/>
    <col min="4353" max="4353" width="5.42578125" style="3" customWidth="1"/>
    <col min="4354" max="4354" width="18" style="3" customWidth="1"/>
    <col min="4355" max="4355" width="11.85546875" style="3" customWidth="1"/>
    <col min="4356" max="4372" width="9.140625" style="3" customWidth="1"/>
    <col min="4373" max="4608" width="9" style="3"/>
    <col min="4609" max="4609" width="5.42578125" style="3" customWidth="1"/>
    <col min="4610" max="4610" width="18" style="3" customWidth="1"/>
    <col min="4611" max="4611" width="11.85546875" style="3" customWidth="1"/>
    <col min="4612" max="4628" width="9.140625" style="3" customWidth="1"/>
    <col min="4629" max="4864" width="9" style="3"/>
    <col min="4865" max="4865" width="5.42578125" style="3" customWidth="1"/>
    <col min="4866" max="4866" width="18" style="3" customWidth="1"/>
    <col min="4867" max="4867" width="11.85546875" style="3" customWidth="1"/>
    <col min="4868" max="4884" width="9.140625" style="3" customWidth="1"/>
    <col min="4885" max="5120" width="9" style="3"/>
    <col min="5121" max="5121" width="5.42578125" style="3" customWidth="1"/>
    <col min="5122" max="5122" width="18" style="3" customWidth="1"/>
    <col min="5123" max="5123" width="11.85546875" style="3" customWidth="1"/>
    <col min="5124" max="5140" width="9.140625" style="3" customWidth="1"/>
    <col min="5141" max="5376" width="9" style="3"/>
    <col min="5377" max="5377" width="5.42578125" style="3" customWidth="1"/>
    <col min="5378" max="5378" width="18" style="3" customWidth="1"/>
    <col min="5379" max="5379" width="11.85546875" style="3" customWidth="1"/>
    <col min="5380" max="5396" width="9.140625" style="3" customWidth="1"/>
    <col min="5397" max="5632" width="9" style="3"/>
    <col min="5633" max="5633" width="5.42578125" style="3" customWidth="1"/>
    <col min="5634" max="5634" width="18" style="3" customWidth="1"/>
    <col min="5635" max="5635" width="11.85546875" style="3" customWidth="1"/>
    <col min="5636" max="5652" width="9.140625" style="3" customWidth="1"/>
    <col min="5653" max="5888" width="9" style="3"/>
    <col min="5889" max="5889" width="5.42578125" style="3" customWidth="1"/>
    <col min="5890" max="5890" width="18" style="3" customWidth="1"/>
    <col min="5891" max="5891" width="11.85546875" style="3" customWidth="1"/>
    <col min="5892" max="5908" width="9.140625" style="3" customWidth="1"/>
    <col min="5909" max="6144" width="9" style="3"/>
    <col min="6145" max="6145" width="5.42578125" style="3" customWidth="1"/>
    <col min="6146" max="6146" width="18" style="3" customWidth="1"/>
    <col min="6147" max="6147" width="11.85546875" style="3" customWidth="1"/>
    <col min="6148" max="6164" width="9.140625" style="3" customWidth="1"/>
    <col min="6165" max="6400" width="9" style="3"/>
    <col min="6401" max="6401" width="5.42578125" style="3" customWidth="1"/>
    <col min="6402" max="6402" width="18" style="3" customWidth="1"/>
    <col min="6403" max="6403" width="11.85546875" style="3" customWidth="1"/>
    <col min="6404" max="6420" width="9.140625" style="3" customWidth="1"/>
    <col min="6421" max="6656" width="9" style="3"/>
    <col min="6657" max="6657" width="5.42578125" style="3" customWidth="1"/>
    <col min="6658" max="6658" width="18" style="3" customWidth="1"/>
    <col min="6659" max="6659" width="11.85546875" style="3" customWidth="1"/>
    <col min="6660" max="6676" width="9.140625" style="3" customWidth="1"/>
    <col min="6677" max="6912" width="9" style="3"/>
    <col min="6913" max="6913" width="5.42578125" style="3" customWidth="1"/>
    <col min="6914" max="6914" width="18" style="3" customWidth="1"/>
    <col min="6915" max="6915" width="11.85546875" style="3" customWidth="1"/>
    <col min="6916" max="6932" width="9.140625" style="3" customWidth="1"/>
    <col min="6933" max="7168" width="9" style="3"/>
    <col min="7169" max="7169" width="5.42578125" style="3" customWidth="1"/>
    <col min="7170" max="7170" width="18" style="3" customWidth="1"/>
    <col min="7171" max="7171" width="11.85546875" style="3" customWidth="1"/>
    <col min="7172" max="7188" width="9.140625" style="3" customWidth="1"/>
    <col min="7189" max="7424" width="9" style="3"/>
    <col min="7425" max="7425" width="5.42578125" style="3" customWidth="1"/>
    <col min="7426" max="7426" width="18" style="3" customWidth="1"/>
    <col min="7427" max="7427" width="11.85546875" style="3" customWidth="1"/>
    <col min="7428" max="7444" width="9.140625" style="3" customWidth="1"/>
    <col min="7445" max="7680" width="9" style="3"/>
    <col min="7681" max="7681" width="5.42578125" style="3" customWidth="1"/>
    <col min="7682" max="7682" width="18" style="3" customWidth="1"/>
    <col min="7683" max="7683" width="11.85546875" style="3" customWidth="1"/>
    <col min="7684" max="7700" width="9.140625" style="3" customWidth="1"/>
    <col min="7701" max="7936" width="9" style="3"/>
    <col min="7937" max="7937" width="5.42578125" style="3" customWidth="1"/>
    <col min="7938" max="7938" width="18" style="3" customWidth="1"/>
    <col min="7939" max="7939" width="11.85546875" style="3" customWidth="1"/>
    <col min="7940" max="7956" width="9.140625" style="3" customWidth="1"/>
    <col min="7957" max="8192" width="9" style="3"/>
    <col min="8193" max="8193" width="5.42578125" style="3" customWidth="1"/>
    <col min="8194" max="8194" width="18" style="3" customWidth="1"/>
    <col min="8195" max="8195" width="11.85546875" style="3" customWidth="1"/>
    <col min="8196" max="8212" width="9.140625" style="3" customWidth="1"/>
    <col min="8213" max="8448" width="9" style="3"/>
    <col min="8449" max="8449" width="5.42578125" style="3" customWidth="1"/>
    <col min="8450" max="8450" width="18" style="3" customWidth="1"/>
    <col min="8451" max="8451" width="11.85546875" style="3" customWidth="1"/>
    <col min="8452" max="8468" width="9.140625" style="3" customWidth="1"/>
    <col min="8469" max="8704" width="9" style="3"/>
    <col min="8705" max="8705" width="5.42578125" style="3" customWidth="1"/>
    <col min="8706" max="8706" width="18" style="3" customWidth="1"/>
    <col min="8707" max="8707" width="11.85546875" style="3" customWidth="1"/>
    <col min="8708" max="8724" width="9.140625" style="3" customWidth="1"/>
    <col min="8725" max="8960" width="9" style="3"/>
    <col min="8961" max="8961" width="5.42578125" style="3" customWidth="1"/>
    <col min="8962" max="8962" width="18" style="3" customWidth="1"/>
    <col min="8963" max="8963" width="11.85546875" style="3" customWidth="1"/>
    <col min="8964" max="8980" width="9.140625" style="3" customWidth="1"/>
    <col min="8981" max="9216" width="9" style="3"/>
    <col min="9217" max="9217" width="5.42578125" style="3" customWidth="1"/>
    <col min="9218" max="9218" width="18" style="3" customWidth="1"/>
    <col min="9219" max="9219" width="11.85546875" style="3" customWidth="1"/>
    <col min="9220" max="9236" width="9.140625" style="3" customWidth="1"/>
    <col min="9237" max="9472" width="9" style="3"/>
    <col min="9473" max="9473" width="5.42578125" style="3" customWidth="1"/>
    <col min="9474" max="9474" width="18" style="3" customWidth="1"/>
    <col min="9475" max="9475" width="11.85546875" style="3" customWidth="1"/>
    <col min="9476" max="9492" width="9.140625" style="3" customWidth="1"/>
    <col min="9493" max="9728" width="9" style="3"/>
    <col min="9729" max="9729" width="5.42578125" style="3" customWidth="1"/>
    <col min="9730" max="9730" width="18" style="3" customWidth="1"/>
    <col min="9731" max="9731" width="11.85546875" style="3" customWidth="1"/>
    <col min="9732" max="9748" width="9.140625" style="3" customWidth="1"/>
    <col min="9749" max="9984" width="9" style="3"/>
    <col min="9985" max="9985" width="5.42578125" style="3" customWidth="1"/>
    <col min="9986" max="9986" width="18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42578125" style="3" customWidth="1"/>
    <col min="10242" max="10242" width="18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42578125" style="3" customWidth="1"/>
    <col min="10498" max="10498" width="18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42578125" style="3" customWidth="1"/>
    <col min="10754" max="10754" width="18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42578125" style="3" customWidth="1"/>
    <col min="11010" max="11010" width="18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42578125" style="3" customWidth="1"/>
    <col min="11266" max="11266" width="18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42578125" style="3" customWidth="1"/>
    <col min="11522" max="11522" width="18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42578125" style="3" customWidth="1"/>
    <col min="11778" max="11778" width="18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42578125" style="3" customWidth="1"/>
    <col min="12034" max="12034" width="18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42578125" style="3" customWidth="1"/>
    <col min="12290" max="12290" width="18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42578125" style="3" customWidth="1"/>
    <col min="12546" max="12546" width="18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42578125" style="3" customWidth="1"/>
    <col min="12802" max="12802" width="18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42578125" style="3" customWidth="1"/>
    <col min="13058" max="13058" width="18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42578125" style="3" customWidth="1"/>
    <col min="13314" max="13314" width="18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42578125" style="3" customWidth="1"/>
    <col min="13570" max="13570" width="18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42578125" style="3" customWidth="1"/>
    <col min="13826" max="13826" width="18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42578125" style="3" customWidth="1"/>
    <col min="14082" max="14082" width="18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42578125" style="3" customWidth="1"/>
    <col min="14338" max="14338" width="18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42578125" style="3" customWidth="1"/>
    <col min="14594" max="14594" width="18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42578125" style="3" customWidth="1"/>
    <col min="14850" max="14850" width="18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42578125" style="3" customWidth="1"/>
    <col min="15106" max="15106" width="18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42578125" style="3" customWidth="1"/>
    <col min="15362" max="15362" width="18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42578125" style="3" customWidth="1"/>
    <col min="15618" max="15618" width="18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42578125" style="3" customWidth="1"/>
    <col min="15874" max="15874" width="18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42578125" style="3" customWidth="1"/>
    <col min="16130" max="16130" width="18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2" ht="159.75" thickBot="1" x14ac:dyDescent="0.3">
      <c r="A2" s="5" t="s">
        <v>1</v>
      </c>
      <c r="B2" s="63" t="s">
        <v>2</v>
      </c>
      <c r="C2" s="63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149" t="s">
        <v>19</v>
      </c>
      <c r="T2" s="9" t="s">
        <v>20</v>
      </c>
      <c r="U2" s="10"/>
      <c r="V2" s="10"/>
    </row>
    <row r="3" spans="1:22" x14ac:dyDescent="0.25">
      <c r="A3" s="64" t="s">
        <v>21</v>
      </c>
      <c r="B3" s="65" t="s">
        <v>138</v>
      </c>
      <c r="C3" s="65" t="s">
        <v>133</v>
      </c>
      <c r="D3" s="17"/>
      <c r="E3" s="17"/>
      <c r="F3" s="93">
        <f>100-(37.37-37.37)/37.37*50</f>
        <v>100</v>
      </c>
      <c r="G3" s="17"/>
      <c r="H3" s="17"/>
      <c r="I3" s="17"/>
      <c r="J3" s="17"/>
      <c r="K3" s="17">
        <f>100-(50.43-48.43)/48.43*50</f>
        <v>97.935164154449723</v>
      </c>
      <c r="L3" s="17">
        <f>100-(28.35-28.35)/28.35*50</f>
        <v>100</v>
      </c>
      <c r="M3" s="17">
        <f>100-(66.53-66.53)/66.53*50</f>
        <v>100</v>
      </c>
      <c r="N3" s="17"/>
      <c r="O3" s="17"/>
      <c r="P3" s="17"/>
      <c r="Q3" s="17"/>
      <c r="R3" s="17">
        <f>100-(96.2-96.2)/96.2*50</f>
        <v>100</v>
      </c>
      <c r="S3" s="17">
        <f>100-(68.05-68.05)/68.05*50</f>
        <v>100</v>
      </c>
      <c r="T3" s="22">
        <f>SUM(D3:S3)</f>
        <v>597.93516415444969</v>
      </c>
    </row>
    <row r="4" spans="1:22" ht="15.75" thickBot="1" x14ac:dyDescent="0.3">
      <c r="A4" s="71" t="s">
        <v>24</v>
      </c>
      <c r="B4" s="74" t="s">
        <v>139</v>
      </c>
      <c r="C4" s="74" t="s">
        <v>133</v>
      </c>
      <c r="D4" s="52"/>
      <c r="E4" s="49"/>
      <c r="F4" s="49"/>
      <c r="G4" s="49"/>
      <c r="H4" s="49"/>
      <c r="I4" s="49"/>
      <c r="J4" s="49"/>
      <c r="K4" s="52">
        <f>100-(48.43-48.43)/48.43*50</f>
        <v>100</v>
      </c>
      <c r="L4" s="52"/>
      <c r="M4" s="49"/>
      <c r="N4" s="49"/>
      <c r="O4" s="49"/>
      <c r="P4" s="49"/>
      <c r="Q4" s="49"/>
      <c r="R4" s="49"/>
      <c r="S4" s="53"/>
      <c r="T4" s="152">
        <f>SUM(D4:S4)</f>
        <v>100</v>
      </c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55"/>
      <c r="O5" s="55"/>
      <c r="P5" s="55"/>
      <c r="Q5" s="55"/>
      <c r="R5" s="57"/>
      <c r="S5" s="55"/>
      <c r="T5" s="58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5"/>
      <c r="O6" s="55"/>
      <c r="P6" s="55"/>
      <c r="Q6" s="55"/>
      <c r="R6" s="2"/>
      <c r="S6" s="2"/>
      <c r="T6" s="58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5"/>
      <c r="O7" s="2"/>
      <c r="P7" s="2"/>
      <c r="Q7" s="2"/>
      <c r="R7" s="2"/>
      <c r="S7" s="2"/>
      <c r="T7" s="2"/>
    </row>
    <row r="8" spans="1:22" s="60" customFormat="1" x14ac:dyDescent="0.25">
      <c r="A8" s="60" t="s">
        <v>68</v>
      </c>
    </row>
    <row r="9" spans="1:22" s="61" customFormat="1" x14ac:dyDescent="0.25">
      <c r="A9" s="61" t="s">
        <v>69</v>
      </c>
    </row>
  </sheetData>
  <mergeCells count="1">
    <mergeCell ref="A1:T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workbookViewId="0">
      <selection activeCell="U20" sqref="U20"/>
    </sheetView>
  </sheetViews>
  <sheetFormatPr defaultColWidth="9" defaultRowHeight="15" x14ac:dyDescent="0.25"/>
  <cols>
    <col min="1" max="1" width="5.42578125" style="3" customWidth="1"/>
    <col min="2" max="2" width="18" style="3" customWidth="1"/>
    <col min="3" max="3" width="11.85546875" style="3" customWidth="1"/>
    <col min="4" max="20" width="9.140625" style="3" customWidth="1"/>
    <col min="21" max="34" width="9" style="2"/>
    <col min="35" max="256" width="9" style="3"/>
    <col min="257" max="257" width="5.42578125" style="3" customWidth="1"/>
    <col min="258" max="258" width="18" style="3" customWidth="1"/>
    <col min="259" max="259" width="11.85546875" style="3" customWidth="1"/>
    <col min="260" max="276" width="9.140625" style="3" customWidth="1"/>
    <col min="277" max="512" width="9" style="3"/>
    <col min="513" max="513" width="5.42578125" style="3" customWidth="1"/>
    <col min="514" max="514" width="18" style="3" customWidth="1"/>
    <col min="515" max="515" width="11.85546875" style="3" customWidth="1"/>
    <col min="516" max="532" width="9.140625" style="3" customWidth="1"/>
    <col min="533" max="768" width="9" style="3"/>
    <col min="769" max="769" width="5.42578125" style="3" customWidth="1"/>
    <col min="770" max="770" width="18" style="3" customWidth="1"/>
    <col min="771" max="771" width="11.85546875" style="3" customWidth="1"/>
    <col min="772" max="788" width="9.140625" style="3" customWidth="1"/>
    <col min="789" max="1024" width="9" style="3"/>
    <col min="1025" max="1025" width="5.42578125" style="3" customWidth="1"/>
    <col min="1026" max="1026" width="18" style="3" customWidth="1"/>
    <col min="1027" max="1027" width="11.85546875" style="3" customWidth="1"/>
    <col min="1028" max="1044" width="9.140625" style="3" customWidth="1"/>
    <col min="1045" max="1280" width="9" style="3"/>
    <col min="1281" max="1281" width="5.42578125" style="3" customWidth="1"/>
    <col min="1282" max="1282" width="18" style="3" customWidth="1"/>
    <col min="1283" max="1283" width="11.85546875" style="3" customWidth="1"/>
    <col min="1284" max="1300" width="9.140625" style="3" customWidth="1"/>
    <col min="1301" max="1536" width="9" style="3"/>
    <col min="1537" max="1537" width="5.42578125" style="3" customWidth="1"/>
    <col min="1538" max="1538" width="18" style="3" customWidth="1"/>
    <col min="1539" max="1539" width="11.85546875" style="3" customWidth="1"/>
    <col min="1540" max="1556" width="9.140625" style="3" customWidth="1"/>
    <col min="1557" max="1792" width="9" style="3"/>
    <col min="1793" max="1793" width="5.42578125" style="3" customWidth="1"/>
    <col min="1794" max="1794" width="18" style="3" customWidth="1"/>
    <col min="1795" max="1795" width="11.85546875" style="3" customWidth="1"/>
    <col min="1796" max="1812" width="9.140625" style="3" customWidth="1"/>
    <col min="1813" max="2048" width="9" style="3"/>
    <col min="2049" max="2049" width="5.42578125" style="3" customWidth="1"/>
    <col min="2050" max="2050" width="18" style="3" customWidth="1"/>
    <col min="2051" max="2051" width="11.85546875" style="3" customWidth="1"/>
    <col min="2052" max="2068" width="9.140625" style="3" customWidth="1"/>
    <col min="2069" max="2304" width="9" style="3"/>
    <col min="2305" max="2305" width="5.42578125" style="3" customWidth="1"/>
    <col min="2306" max="2306" width="18" style="3" customWidth="1"/>
    <col min="2307" max="2307" width="11.85546875" style="3" customWidth="1"/>
    <col min="2308" max="2324" width="9.140625" style="3" customWidth="1"/>
    <col min="2325" max="2560" width="9" style="3"/>
    <col min="2561" max="2561" width="5.42578125" style="3" customWidth="1"/>
    <col min="2562" max="2562" width="18" style="3" customWidth="1"/>
    <col min="2563" max="2563" width="11.85546875" style="3" customWidth="1"/>
    <col min="2564" max="2580" width="9.140625" style="3" customWidth="1"/>
    <col min="2581" max="2816" width="9" style="3"/>
    <col min="2817" max="2817" width="5.42578125" style="3" customWidth="1"/>
    <col min="2818" max="2818" width="18" style="3" customWidth="1"/>
    <col min="2819" max="2819" width="11.85546875" style="3" customWidth="1"/>
    <col min="2820" max="2836" width="9.140625" style="3" customWidth="1"/>
    <col min="2837" max="3072" width="9" style="3"/>
    <col min="3073" max="3073" width="5.42578125" style="3" customWidth="1"/>
    <col min="3074" max="3074" width="18" style="3" customWidth="1"/>
    <col min="3075" max="3075" width="11.85546875" style="3" customWidth="1"/>
    <col min="3076" max="3092" width="9.140625" style="3" customWidth="1"/>
    <col min="3093" max="3328" width="9" style="3"/>
    <col min="3329" max="3329" width="5.42578125" style="3" customWidth="1"/>
    <col min="3330" max="3330" width="18" style="3" customWidth="1"/>
    <col min="3331" max="3331" width="11.85546875" style="3" customWidth="1"/>
    <col min="3332" max="3348" width="9.140625" style="3" customWidth="1"/>
    <col min="3349" max="3584" width="9" style="3"/>
    <col min="3585" max="3585" width="5.42578125" style="3" customWidth="1"/>
    <col min="3586" max="3586" width="18" style="3" customWidth="1"/>
    <col min="3587" max="3587" width="11.85546875" style="3" customWidth="1"/>
    <col min="3588" max="3604" width="9.140625" style="3" customWidth="1"/>
    <col min="3605" max="3840" width="9" style="3"/>
    <col min="3841" max="3841" width="5.42578125" style="3" customWidth="1"/>
    <col min="3842" max="3842" width="18" style="3" customWidth="1"/>
    <col min="3843" max="3843" width="11.85546875" style="3" customWidth="1"/>
    <col min="3844" max="3860" width="9.140625" style="3" customWidth="1"/>
    <col min="3861" max="4096" width="9" style="3"/>
    <col min="4097" max="4097" width="5.42578125" style="3" customWidth="1"/>
    <col min="4098" max="4098" width="18" style="3" customWidth="1"/>
    <col min="4099" max="4099" width="11.85546875" style="3" customWidth="1"/>
    <col min="4100" max="4116" width="9.140625" style="3" customWidth="1"/>
    <col min="4117" max="4352" width="9" style="3"/>
    <col min="4353" max="4353" width="5.42578125" style="3" customWidth="1"/>
    <col min="4354" max="4354" width="18" style="3" customWidth="1"/>
    <col min="4355" max="4355" width="11.85546875" style="3" customWidth="1"/>
    <col min="4356" max="4372" width="9.140625" style="3" customWidth="1"/>
    <col min="4373" max="4608" width="9" style="3"/>
    <col min="4609" max="4609" width="5.42578125" style="3" customWidth="1"/>
    <col min="4610" max="4610" width="18" style="3" customWidth="1"/>
    <col min="4611" max="4611" width="11.85546875" style="3" customWidth="1"/>
    <col min="4612" max="4628" width="9.140625" style="3" customWidth="1"/>
    <col min="4629" max="4864" width="9" style="3"/>
    <col min="4865" max="4865" width="5.42578125" style="3" customWidth="1"/>
    <col min="4866" max="4866" width="18" style="3" customWidth="1"/>
    <col min="4867" max="4867" width="11.85546875" style="3" customWidth="1"/>
    <col min="4868" max="4884" width="9.140625" style="3" customWidth="1"/>
    <col min="4885" max="5120" width="9" style="3"/>
    <col min="5121" max="5121" width="5.42578125" style="3" customWidth="1"/>
    <col min="5122" max="5122" width="18" style="3" customWidth="1"/>
    <col min="5123" max="5123" width="11.85546875" style="3" customWidth="1"/>
    <col min="5124" max="5140" width="9.140625" style="3" customWidth="1"/>
    <col min="5141" max="5376" width="9" style="3"/>
    <col min="5377" max="5377" width="5.42578125" style="3" customWidth="1"/>
    <col min="5378" max="5378" width="18" style="3" customWidth="1"/>
    <col min="5379" max="5379" width="11.85546875" style="3" customWidth="1"/>
    <col min="5380" max="5396" width="9.140625" style="3" customWidth="1"/>
    <col min="5397" max="5632" width="9" style="3"/>
    <col min="5633" max="5633" width="5.42578125" style="3" customWidth="1"/>
    <col min="5634" max="5634" width="18" style="3" customWidth="1"/>
    <col min="5635" max="5635" width="11.85546875" style="3" customWidth="1"/>
    <col min="5636" max="5652" width="9.140625" style="3" customWidth="1"/>
    <col min="5653" max="5888" width="9" style="3"/>
    <col min="5889" max="5889" width="5.42578125" style="3" customWidth="1"/>
    <col min="5890" max="5890" width="18" style="3" customWidth="1"/>
    <col min="5891" max="5891" width="11.85546875" style="3" customWidth="1"/>
    <col min="5892" max="5908" width="9.140625" style="3" customWidth="1"/>
    <col min="5909" max="6144" width="9" style="3"/>
    <col min="6145" max="6145" width="5.42578125" style="3" customWidth="1"/>
    <col min="6146" max="6146" width="18" style="3" customWidth="1"/>
    <col min="6147" max="6147" width="11.85546875" style="3" customWidth="1"/>
    <col min="6148" max="6164" width="9.140625" style="3" customWidth="1"/>
    <col min="6165" max="6400" width="9" style="3"/>
    <col min="6401" max="6401" width="5.42578125" style="3" customWidth="1"/>
    <col min="6402" max="6402" width="18" style="3" customWidth="1"/>
    <col min="6403" max="6403" width="11.85546875" style="3" customWidth="1"/>
    <col min="6404" max="6420" width="9.140625" style="3" customWidth="1"/>
    <col min="6421" max="6656" width="9" style="3"/>
    <col min="6657" max="6657" width="5.42578125" style="3" customWidth="1"/>
    <col min="6658" max="6658" width="18" style="3" customWidth="1"/>
    <col min="6659" max="6659" width="11.85546875" style="3" customWidth="1"/>
    <col min="6660" max="6676" width="9.140625" style="3" customWidth="1"/>
    <col min="6677" max="6912" width="9" style="3"/>
    <col min="6913" max="6913" width="5.42578125" style="3" customWidth="1"/>
    <col min="6914" max="6914" width="18" style="3" customWidth="1"/>
    <col min="6915" max="6915" width="11.85546875" style="3" customWidth="1"/>
    <col min="6916" max="6932" width="9.140625" style="3" customWidth="1"/>
    <col min="6933" max="7168" width="9" style="3"/>
    <col min="7169" max="7169" width="5.42578125" style="3" customWidth="1"/>
    <col min="7170" max="7170" width="18" style="3" customWidth="1"/>
    <col min="7171" max="7171" width="11.85546875" style="3" customWidth="1"/>
    <col min="7172" max="7188" width="9.140625" style="3" customWidth="1"/>
    <col min="7189" max="7424" width="9" style="3"/>
    <col min="7425" max="7425" width="5.42578125" style="3" customWidth="1"/>
    <col min="7426" max="7426" width="18" style="3" customWidth="1"/>
    <col min="7427" max="7427" width="11.85546875" style="3" customWidth="1"/>
    <col min="7428" max="7444" width="9.140625" style="3" customWidth="1"/>
    <col min="7445" max="7680" width="9" style="3"/>
    <col min="7681" max="7681" width="5.42578125" style="3" customWidth="1"/>
    <col min="7682" max="7682" width="18" style="3" customWidth="1"/>
    <col min="7683" max="7683" width="11.85546875" style="3" customWidth="1"/>
    <col min="7684" max="7700" width="9.140625" style="3" customWidth="1"/>
    <col min="7701" max="7936" width="9" style="3"/>
    <col min="7937" max="7937" width="5.42578125" style="3" customWidth="1"/>
    <col min="7938" max="7938" width="18" style="3" customWidth="1"/>
    <col min="7939" max="7939" width="11.85546875" style="3" customWidth="1"/>
    <col min="7940" max="7956" width="9.140625" style="3" customWidth="1"/>
    <col min="7957" max="8192" width="9" style="3"/>
    <col min="8193" max="8193" width="5.42578125" style="3" customWidth="1"/>
    <col min="8194" max="8194" width="18" style="3" customWidth="1"/>
    <col min="8195" max="8195" width="11.85546875" style="3" customWidth="1"/>
    <col min="8196" max="8212" width="9.140625" style="3" customWidth="1"/>
    <col min="8213" max="8448" width="9" style="3"/>
    <col min="8449" max="8449" width="5.42578125" style="3" customWidth="1"/>
    <col min="8450" max="8450" width="18" style="3" customWidth="1"/>
    <col min="8451" max="8451" width="11.85546875" style="3" customWidth="1"/>
    <col min="8452" max="8468" width="9.140625" style="3" customWidth="1"/>
    <col min="8469" max="8704" width="9" style="3"/>
    <col min="8705" max="8705" width="5.42578125" style="3" customWidth="1"/>
    <col min="8706" max="8706" width="18" style="3" customWidth="1"/>
    <col min="8707" max="8707" width="11.85546875" style="3" customWidth="1"/>
    <col min="8708" max="8724" width="9.140625" style="3" customWidth="1"/>
    <col min="8725" max="8960" width="9" style="3"/>
    <col min="8961" max="8961" width="5.42578125" style="3" customWidth="1"/>
    <col min="8962" max="8962" width="18" style="3" customWidth="1"/>
    <col min="8963" max="8963" width="11.85546875" style="3" customWidth="1"/>
    <col min="8964" max="8980" width="9.140625" style="3" customWidth="1"/>
    <col min="8981" max="9216" width="9" style="3"/>
    <col min="9217" max="9217" width="5.42578125" style="3" customWidth="1"/>
    <col min="9218" max="9218" width="18" style="3" customWidth="1"/>
    <col min="9219" max="9219" width="11.85546875" style="3" customWidth="1"/>
    <col min="9220" max="9236" width="9.140625" style="3" customWidth="1"/>
    <col min="9237" max="9472" width="9" style="3"/>
    <col min="9473" max="9473" width="5.42578125" style="3" customWidth="1"/>
    <col min="9474" max="9474" width="18" style="3" customWidth="1"/>
    <col min="9475" max="9475" width="11.85546875" style="3" customWidth="1"/>
    <col min="9476" max="9492" width="9.140625" style="3" customWidth="1"/>
    <col min="9493" max="9728" width="9" style="3"/>
    <col min="9729" max="9729" width="5.42578125" style="3" customWidth="1"/>
    <col min="9730" max="9730" width="18" style="3" customWidth="1"/>
    <col min="9731" max="9731" width="11.85546875" style="3" customWidth="1"/>
    <col min="9732" max="9748" width="9.140625" style="3" customWidth="1"/>
    <col min="9749" max="9984" width="9" style="3"/>
    <col min="9985" max="9985" width="5.42578125" style="3" customWidth="1"/>
    <col min="9986" max="9986" width="18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42578125" style="3" customWidth="1"/>
    <col min="10242" max="10242" width="18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42578125" style="3" customWidth="1"/>
    <col min="10498" max="10498" width="18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42578125" style="3" customWidth="1"/>
    <col min="10754" max="10754" width="18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42578125" style="3" customWidth="1"/>
    <col min="11010" max="11010" width="18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42578125" style="3" customWidth="1"/>
    <col min="11266" max="11266" width="18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42578125" style="3" customWidth="1"/>
    <col min="11522" max="11522" width="18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42578125" style="3" customWidth="1"/>
    <col min="11778" max="11778" width="18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42578125" style="3" customWidth="1"/>
    <col min="12034" max="12034" width="18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42578125" style="3" customWidth="1"/>
    <col min="12290" max="12290" width="18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42578125" style="3" customWidth="1"/>
    <col min="12546" max="12546" width="18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42578125" style="3" customWidth="1"/>
    <col min="12802" max="12802" width="18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42578125" style="3" customWidth="1"/>
    <col min="13058" max="13058" width="18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42578125" style="3" customWidth="1"/>
    <col min="13314" max="13314" width="18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42578125" style="3" customWidth="1"/>
    <col min="13570" max="13570" width="18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42578125" style="3" customWidth="1"/>
    <col min="13826" max="13826" width="18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42578125" style="3" customWidth="1"/>
    <col min="14082" max="14082" width="18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42578125" style="3" customWidth="1"/>
    <col min="14338" max="14338" width="18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42578125" style="3" customWidth="1"/>
    <col min="14594" max="14594" width="18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42578125" style="3" customWidth="1"/>
    <col min="14850" max="14850" width="18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42578125" style="3" customWidth="1"/>
    <col min="15106" max="15106" width="18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42578125" style="3" customWidth="1"/>
    <col min="15362" max="15362" width="18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42578125" style="3" customWidth="1"/>
    <col min="15618" max="15618" width="18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42578125" style="3" customWidth="1"/>
    <col min="15874" max="15874" width="18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42578125" style="3" customWidth="1"/>
    <col min="16130" max="16130" width="18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2" ht="159.75" thickBot="1" x14ac:dyDescent="0.3">
      <c r="A2" s="5" t="s">
        <v>1</v>
      </c>
      <c r="B2" s="63" t="s">
        <v>2</v>
      </c>
      <c r="C2" s="63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149" t="s">
        <v>19</v>
      </c>
      <c r="T2" s="9" t="s">
        <v>20</v>
      </c>
      <c r="U2" s="10"/>
      <c r="V2" s="10"/>
    </row>
    <row r="3" spans="1:22" x14ac:dyDescent="0.25">
      <c r="A3" s="64" t="s">
        <v>21</v>
      </c>
      <c r="B3" s="65" t="s">
        <v>132</v>
      </c>
      <c r="C3" s="65" t="s">
        <v>133</v>
      </c>
      <c r="D3" s="17">
        <f>100-(61.2-61.2)/61.2*50</f>
        <v>100</v>
      </c>
      <c r="E3" s="66">
        <f>100-(82.73-80.95)/80.95*50</f>
        <v>98.900555898702905</v>
      </c>
      <c r="F3" s="17">
        <f>100-(31-31)/31*50</f>
        <v>100</v>
      </c>
      <c r="G3" s="17">
        <f>100-(65.85-65.85)/65.85*50</f>
        <v>100</v>
      </c>
      <c r="H3" s="17">
        <f>100-(89.35-89.35)/89.35*50</f>
        <v>100</v>
      </c>
      <c r="I3" s="17">
        <f>100-(38.03-38.03)/38.03*50</f>
        <v>100</v>
      </c>
      <c r="J3" s="17">
        <f>100-(39.48-39.48)/39.48*50</f>
        <v>100</v>
      </c>
      <c r="K3" s="66">
        <f>100-(70.32-61.42)/61.42*50</f>
        <v>92.754802995766852</v>
      </c>
      <c r="L3" s="17">
        <f>100-(27.45-27.45)/27.45*50</f>
        <v>100</v>
      </c>
      <c r="M3" s="66">
        <f>100-(84.15-84.15)/84.15*50</f>
        <v>100</v>
      </c>
      <c r="N3" s="66">
        <f>100-(38.3-38.3)/38.3*50</f>
        <v>100</v>
      </c>
      <c r="O3" s="66">
        <f>100-(93.7-93.7)/93.7*50</f>
        <v>100</v>
      </c>
      <c r="P3" s="66">
        <f>100-(28.52-28.52)/28.52*50</f>
        <v>100</v>
      </c>
      <c r="Q3" s="17"/>
      <c r="R3" s="66">
        <f>100-(61.05-61.05)/61.05*50</f>
        <v>100</v>
      </c>
      <c r="S3" s="150">
        <f>100-(57.78-57.78)/57.78*50</f>
        <v>100</v>
      </c>
      <c r="T3" s="22">
        <f>SUM(D3:S3)-K3-E3-M3-N3-O3-P3-R3-S3</f>
        <v>700.00000000000023</v>
      </c>
    </row>
    <row r="4" spans="1:22" x14ac:dyDescent="0.25">
      <c r="A4" s="67" t="s">
        <v>24</v>
      </c>
      <c r="B4" s="23" t="s">
        <v>140</v>
      </c>
      <c r="C4" s="23" t="s">
        <v>71</v>
      </c>
      <c r="D4" s="121">
        <f>100-(85.37-61.2)/61.2*50</f>
        <v>80.253267973856211</v>
      </c>
      <c r="E4" s="27">
        <f>100-(93.35-80.95)/80.95*50</f>
        <v>92.340951204447194</v>
      </c>
      <c r="F4" s="27">
        <f>100-(33.87-31)/31*50</f>
        <v>95.370967741935488</v>
      </c>
      <c r="G4" s="27">
        <f>100-(67.8-65.85)/65.85*50</f>
        <v>98.519362186788157</v>
      </c>
      <c r="H4" s="27"/>
      <c r="I4" s="27"/>
      <c r="J4" s="19"/>
      <c r="K4" s="18">
        <f>100-(80.82-61.42)/61.42*50</f>
        <v>84.207098664930001</v>
      </c>
      <c r="L4" s="27">
        <f>100-(32.78-27.45)/27.45*50</f>
        <v>90.291438979963573</v>
      </c>
      <c r="M4" s="121">
        <f>100-(109.3-84.15)/84.15*50</f>
        <v>85.056446821152704</v>
      </c>
      <c r="N4" s="19">
        <f>100-(43.73-38.3)/38.3*50</f>
        <v>92.911227154046998</v>
      </c>
      <c r="O4" s="138" t="s">
        <v>33</v>
      </c>
      <c r="P4" s="18">
        <f>100-(39.8-28.52)/28.52*50</f>
        <v>80.224403927068721</v>
      </c>
      <c r="Q4" s="139"/>
      <c r="R4" s="27">
        <f>100-(64.33-61.05)/61.05*50</f>
        <v>97.313677313677317</v>
      </c>
      <c r="S4" s="83">
        <f>100-(62.7-57.78)/57.78*50</f>
        <v>95.742471443406018</v>
      </c>
      <c r="T4" s="28">
        <f>SUM(D4:S4)-D4-P4-K4-M4</f>
        <v>662.49009602426474</v>
      </c>
    </row>
    <row r="5" spans="1:22" x14ac:dyDescent="0.25">
      <c r="A5" s="67" t="s">
        <v>27</v>
      </c>
      <c r="B5" s="23" t="s">
        <v>141</v>
      </c>
      <c r="C5" s="23" t="s">
        <v>45</v>
      </c>
      <c r="D5" s="27">
        <f>100-(89.53-61.2)/61.2*50</f>
        <v>76.854575163398692</v>
      </c>
      <c r="E5" s="27">
        <f>100-(124.98-80.95)/80.95*50</f>
        <v>72.80420012353305</v>
      </c>
      <c r="F5" s="27">
        <f>100-(56.88-31)/31*50</f>
        <v>58.258064516129025</v>
      </c>
      <c r="G5" s="27">
        <f>100-(77.08-65.85)/65.85*50</f>
        <v>91.473044798785111</v>
      </c>
      <c r="H5" s="19">
        <f>100-(135.13-89.35)/89.35*50</f>
        <v>74.381645215444877</v>
      </c>
      <c r="I5" s="19"/>
      <c r="J5" s="94"/>
      <c r="K5" s="19">
        <f>100-(107.93-61.42)/61.42*50</f>
        <v>62.137740149788343</v>
      </c>
      <c r="L5" s="19"/>
      <c r="M5" s="19">
        <f>100-(115.13-84.15)/84.15*50</f>
        <v>81.59239453357101</v>
      </c>
      <c r="N5" s="27"/>
      <c r="O5" s="27"/>
      <c r="P5" s="27"/>
      <c r="Q5" s="27"/>
      <c r="R5" s="19"/>
      <c r="S5" s="168"/>
      <c r="T5" s="28">
        <f t="shared" ref="T5:T15" si="0">SUM(D5:S5)</f>
        <v>517.50166450065012</v>
      </c>
    </row>
    <row r="6" spans="1:22" x14ac:dyDescent="0.25">
      <c r="A6" s="67" t="s">
        <v>30</v>
      </c>
      <c r="B6" s="23" t="s">
        <v>142</v>
      </c>
      <c r="C6" s="23" t="s">
        <v>71</v>
      </c>
      <c r="D6" s="27"/>
      <c r="E6" s="27">
        <f>100-(80.95-80.95)/80.95*50</f>
        <v>100</v>
      </c>
      <c r="F6" s="27"/>
      <c r="G6" s="27"/>
      <c r="H6" s="27"/>
      <c r="I6" s="19"/>
      <c r="J6" s="19">
        <f>100-(40.57-39.48)/39.48*50</f>
        <v>98.619554204660588</v>
      </c>
      <c r="K6" s="27">
        <f>100-(61.42-61.42)/61.42*50</f>
        <v>100</v>
      </c>
      <c r="L6" s="27">
        <f>100-(28.45-27.45)/27.45*50</f>
        <v>98.178506375227684</v>
      </c>
      <c r="M6" s="27">
        <f>100-(85.62-84.15)/84.15*50</f>
        <v>99.126559714795007</v>
      </c>
      <c r="N6" s="70"/>
      <c r="O6" s="27"/>
      <c r="P6" s="27"/>
      <c r="Q6" s="27"/>
      <c r="R6" s="27"/>
      <c r="S6" s="83"/>
      <c r="T6" s="28">
        <f t="shared" si="0"/>
        <v>495.92462029468328</v>
      </c>
    </row>
    <row r="7" spans="1:22" x14ac:dyDescent="0.25">
      <c r="A7" s="67" t="s">
        <v>34</v>
      </c>
      <c r="B7" s="23" t="s">
        <v>143</v>
      </c>
      <c r="C7" s="23" t="s">
        <v>90</v>
      </c>
      <c r="D7" s="27">
        <f>100-(87.45-61.2)/61.2*50</f>
        <v>78.553921568627459</v>
      </c>
      <c r="E7" s="85" t="s">
        <v>33</v>
      </c>
      <c r="F7" s="19">
        <f>100-(51.95-31)/31*50</f>
        <v>66.209677419354833</v>
      </c>
      <c r="G7" s="19">
        <f>100-(81.87-65.85)/65.85*50</f>
        <v>87.835990888382682</v>
      </c>
      <c r="H7" s="23"/>
      <c r="I7" s="23"/>
      <c r="J7" s="86"/>
      <c r="K7" s="23"/>
      <c r="L7" s="27">
        <f>100-(37.12-27.45)/27.45*50</f>
        <v>82.386156648451731</v>
      </c>
      <c r="M7" s="27">
        <f>100-(124.33-84.15)/84.15*50</f>
        <v>76.125965537730252</v>
      </c>
      <c r="N7" s="19"/>
      <c r="O7" s="68"/>
      <c r="P7" s="68"/>
      <c r="Q7" s="68"/>
      <c r="R7" s="23"/>
      <c r="S7" s="95"/>
      <c r="T7" s="28">
        <f t="shared" si="0"/>
        <v>391.11171206254699</v>
      </c>
    </row>
    <row r="8" spans="1:22" x14ac:dyDescent="0.25">
      <c r="A8" s="67" t="s">
        <v>37</v>
      </c>
      <c r="B8" s="23" t="s">
        <v>144</v>
      </c>
      <c r="C8" s="23" t="s">
        <v>145</v>
      </c>
      <c r="D8" s="68"/>
      <c r="E8" s="23"/>
      <c r="F8" s="23"/>
      <c r="G8" s="23"/>
      <c r="H8" s="19">
        <f>100-(123.9-89.35)/89.35*50</f>
        <v>80.665920537213196</v>
      </c>
      <c r="I8" s="19">
        <f>100-(53.5-38.03)/38.03*50</f>
        <v>79.660794109913226</v>
      </c>
      <c r="J8" s="23"/>
      <c r="K8" s="19">
        <f>100-(99.57-61.42)/61.42*50</f>
        <v>68.943340931292738</v>
      </c>
      <c r="L8" s="27">
        <f>100-(41.27-27.45)/27.45*50</f>
        <v>74.826958105646625</v>
      </c>
      <c r="M8" s="23"/>
      <c r="N8" s="23"/>
      <c r="O8" s="23"/>
      <c r="P8" s="23"/>
      <c r="Q8" s="23"/>
      <c r="R8" s="23"/>
      <c r="S8" s="95"/>
      <c r="T8" s="28">
        <f t="shared" si="0"/>
        <v>304.09701368406581</v>
      </c>
    </row>
    <row r="9" spans="1:22" x14ac:dyDescent="0.25">
      <c r="A9" s="67" t="s">
        <v>40</v>
      </c>
      <c r="B9" s="23" t="s">
        <v>146</v>
      </c>
      <c r="C9" s="23" t="s">
        <v>59</v>
      </c>
      <c r="D9" s="19"/>
      <c r="E9" s="19"/>
      <c r="F9" s="23"/>
      <c r="G9" s="19">
        <f>100-(95.55-65.85)/65.85*50</f>
        <v>77.448747152619589</v>
      </c>
      <c r="H9" s="19">
        <f>100-(161.12-89.35)/89.35*50</f>
        <v>59.8377168438724</v>
      </c>
      <c r="I9" s="19">
        <f>100-(61.27-38.03)/38.03*50</f>
        <v>69.445174861951088</v>
      </c>
      <c r="J9" s="27"/>
      <c r="K9" s="19"/>
      <c r="L9" s="23"/>
      <c r="M9" s="68"/>
      <c r="N9" s="19"/>
      <c r="O9" s="19"/>
      <c r="P9" s="19"/>
      <c r="Q9" s="19"/>
      <c r="R9" s="23"/>
      <c r="S9" s="95"/>
      <c r="T9" s="28">
        <f t="shared" si="0"/>
        <v>206.73163885844309</v>
      </c>
    </row>
    <row r="10" spans="1:22" x14ac:dyDescent="0.25">
      <c r="A10" s="67" t="s">
        <v>43</v>
      </c>
      <c r="B10" s="69" t="s">
        <v>161</v>
      </c>
      <c r="C10" s="69" t="s">
        <v>163</v>
      </c>
      <c r="D10" s="69"/>
      <c r="E10" s="69"/>
      <c r="F10" s="69"/>
      <c r="G10" s="44"/>
      <c r="H10" s="27"/>
      <c r="I10" s="43"/>
      <c r="J10" s="23"/>
      <c r="K10" s="44"/>
      <c r="L10" s="19"/>
      <c r="M10" s="44"/>
      <c r="N10" s="140"/>
      <c r="O10" s="23"/>
      <c r="P10" s="23"/>
      <c r="Q10" s="23"/>
      <c r="R10" s="19">
        <f>100-(89.98-61.05)/61.05*50</f>
        <v>76.306306306306297</v>
      </c>
      <c r="S10" s="31">
        <f>100-(91.13-57.78)/57.78*50</f>
        <v>71.140533056420907</v>
      </c>
      <c r="T10" s="28">
        <f t="shared" si="0"/>
        <v>147.44683936272719</v>
      </c>
    </row>
    <row r="11" spans="1:22" x14ac:dyDescent="0.25">
      <c r="A11" s="67" t="s">
        <v>46</v>
      </c>
      <c r="B11" s="23" t="s">
        <v>147</v>
      </c>
      <c r="C11" s="23" t="s">
        <v>97</v>
      </c>
      <c r="D11" s="23"/>
      <c r="E11" s="19"/>
      <c r="F11" s="23"/>
      <c r="G11" s="68"/>
      <c r="H11" s="27">
        <f>100-(98.75-89.35)/89.35*50</f>
        <v>94.739787353105754</v>
      </c>
      <c r="I11" s="68"/>
      <c r="J11" s="23"/>
      <c r="K11" s="23"/>
      <c r="L11" s="23"/>
      <c r="M11" s="19"/>
      <c r="N11" s="23"/>
      <c r="O11" s="23"/>
      <c r="P11" s="68"/>
      <c r="Q11" s="68"/>
      <c r="R11" s="27"/>
      <c r="S11" s="83"/>
      <c r="T11" s="28">
        <f t="shared" si="0"/>
        <v>94.739787353105754</v>
      </c>
    </row>
    <row r="12" spans="1:22" x14ac:dyDescent="0.25">
      <c r="A12" s="67" t="s">
        <v>49</v>
      </c>
      <c r="B12" s="41" t="s">
        <v>149</v>
      </c>
      <c r="C12" s="23" t="s">
        <v>135</v>
      </c>
      <c r="D12" s="41"/>
      <c r="E12" s="19"/>
      <c r="F12" s="19"/>
      <c r="G12" s="23"/>
      <c r="H12" s="23"/>
      <c r="I12" s="23"/>
      <c r="J12" s="23"/>
      <c r="K12" s="23"/>
      <c r="L12" s="23"/>
      <c r="M12" s="19"/>
      <c r="N12" s="68"/>
      <c r="O12" s="27"/>
      <c r="P12" s="19">
        <f>100-(40.72-28.52)/28.52*50</f>
        <v>78.611500701262273</v>
      </c>
      <c r="Q12" s="27"/>
      <c r="R12" s="19"/>
      <c r="S12" s="31"/>
      <c r="T12" s="28">
        <f t="shared" si="0"/>
        <v>78.611500701262273</v>
      </c>
    </row>
    <row r="13" spans="1:22" x14ac:dyDescent="0.25">
      <c r="A13" s="67" t="s">
        <v>51</v>
      </c>
      <c r="B13" s="23" t="s">
        <v>148</v>
      </c>
      <c r="C13" s="23" t="s">
        <v>75</v>
      </c>
      <c r="D13" s="27">
        <f>100-(87.55-61.2)/61.2*50</f>
        <v>78.472222222222229</v>
      </c>
      <c r="E13" s="23"/>
      <c r="F13" s="23"/>
      <c r="G13" s="23"/>
      <c r="H13" s="23"/>
      <c r="I13" s="23"/>
      <c r="J13" s="19"/>
      <c r="K13" s="19"/>
      <c r="L13" s="19"/>
      <c r="M13" s="19"/>
      <c r="N13" s="23"/>
      <c r="O13" s="23"/>
      <c r="P13" s="23"/>
      <c r="Q13" s="23"/>
      <c r="R13" s="27"/>
      <c r="S13" s="83"/>
      <c r="T13" s="28">
        <f t="shared" si="0"/>
        <v>78.472222222222229</v>
      </c>
    </row>
    <row r="14" spans="1:22" x14ac:dyDescent="0.25">
      <c r="A14" s="67" t="s">
        <v>53</v>
      </c>
      <c r="B14" s="23" t="s">
        <v>169</v>
      </c>
      <c r="C14" s="23" t="s">
        <v>112</v>
      </c>
      <c r="D14" s="68"/>
      <c r="E14" s="23"/>
      <c r="F14" s="68"/>
      <c r="G14" s="68"/>
      <c r="H14" s="23"/>
      <c r="I14" s="23"/>
      <c r="J14" s="23"/>
      <c r="K14" s="23"/>
      <c r="L14" s="23"/>
      <c r="M14" s="23"/>
      <c r="N14" s="19"/>
      <c r="O14" s="19"/>
      <c r="P14" s="19"/>
      <c r="Q14" s="19"/>
      <c r="R14" s="23"/>
      <c r="S14" s="31">
        <f>100-(91.77-57.78)/57.78*50</f>
        <v>70.586708203530634</v>
      </c>
      <c r="T14" s="28">
        <f t="shared" si="0"/>
        <v>70.586708203530634</v>
      </c>
    </row>
    <row r="15" spans="1:22" ht="15.75" thickBot="1" x14ac:dyDescent="0.3">
      <c r="A15" s="71" t="s">
        <v>55</v>
      </c>
      <c r="B15" s="74" t="s">
        <v>162</v>
      </c>
      <c r="C15" s="74" t="s">
        <v>159</v>
      </c>
      <c r="D15" s="74"/>
      <c r="E15" s="74"/>
      <c r="F15" s="74"/>
      <c r="G15" s="74"/>
      <c r="H15" s="135"/>
      <c r="I15" s="135"/>
      <c r="J15" s="74"/>
      <c r="K15" s="74"/>
      <c r="L15" s="74"/>
      <c r="M15" s="49"/>
      <c r="N15" s="49"/>
      <c r="O15" s="49"/>
      <c r="P15" s="49"/>
      <c r="Q15" s="49"/>
      <c r="R15" s="151" t="s">
        <v>33</v>
      </c>
      <c r="S15" s="169" t="s">
        <v>33</v>
      </c>
      <c r="T15" s="54">
        <f t="shared" si="0"/>
        <v>0</v>
      </c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55"/>
      <c r="O16" s="55"/>
      <c r="P16" s="55"/>
      <c r="Q16" s="55"/>
      <c r="R16" s="57"/>
      <c r="S16" s="55"/>
      <c r="T16" s="58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5"/>
      <c r="O17" s="55"/>
      <c r="P17" s="55"/>
      <c r="Q17" s="55"/>
      <c r="R17" s="2"/>
      <c r="S17" s="2"/>
      <c r="T17" s="58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55"/>
      <c r="O18" s="2"/>
      <c r="P18" s="2"/>
      <c r="Q18" s="2"/>
      <c r="R18" s="2"/>
      <c r="S18" s="2"/>
      <c r="T18" s="2"/>
    </row>
    <row r="19" spans="1:20" s="60" customFormat="1" x14ac:dyDescent="0.25">
      <c r="A19" s="60" t="s">
        <v>68</v>
      </c>
    </row>
    <row r="20" spans="1:20" s="61" customFormat="1" x14ac:dyDescent="0.25">
      <c r="A20" s="61" t="s">
        <v>69</v>
      </c>
    </row>
  </sheetData>
  <sortState ref="A3:T15">
    <sortCondition descending="1" ref="T3"/>
  </sortState>
  <mergeCells count="1">
    <mergeCell ref="A1:T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workbookViewId="0">
      <selection activeCell="V7" sqref="V7"/>
    </sheetView>
  </sheetViews>
  <sheetFormatPr defaultColWidth="9" defaultRowHeight="15" x14ac:dyDescent="0.25"/>
  <cols>
    <col min="1" max="1" width="5.140625" style="3" customWidth="1"/>
    <col min="2" max="2" width="19.85546875" style="3" customWidth="1"/>
    <col min="3" max="3" width="11.85546875" style="3" customWidth="1"/>
    <col min="4" max="5" width="9.140625" style="3" customWidth="1"/>
    <col min="6" max="6" width="9.140625" style="62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19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19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19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19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19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19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19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19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19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19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19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19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19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19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19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19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19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19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19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19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19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19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19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19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19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19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19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19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19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19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19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19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19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19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19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19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19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19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19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2" ht="161.25" customHeight="1" thickBot="1" x14ac:dyDescent="0.3">
      <c r="A2" s="10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</row>
    <row r="3" spans="1:22" x14ac:dyDescent="0.25">
      <c r="A3" s="13" t="s">
        <v>21</v>
      </c>
      <c r="B3" s="166" t="s">
        <v>152</v>
      </c>
      <c r="C3" s="15" t="s">
        <v>133</v>
      </c>
      <c r="D3" s="17">
        <f>100-(55.85-55.85)/55.85*50</f>
        <v>100</v>
      </c>
      <c r="E3" s="65"/>
      <c r="F3" s="17">
        <f>100-(26.75-26.75)/26.75*50</f>
        <v>100</v>
      </c>
      <c r="G3" s="17">
        <f>100-(59.27-59.27)/59.27*50</f>
        <v>100</v>
      </c>
      <c r="H3" s="65"/>
      <c r="I3" s="65"/>
      <c r="J3" s="17">
        <f>100-(51.16-51.16)/51.16*50</f>
        <v>100</v>
      </c>
      <c r="K3" s="66">
        <f>100-(63.16-52.87)/52.87*50</f>
        <v>90.268583317571398</v>
      </c>
      <c r="L3" s="17">
        <f>100-(27.88-27.88)/27.88*50</f>
        <v>100</v>
      </c>
      <c r="M3" s="17">
        <f>100-(102.07-102.07)/102.07*50</f>
        <v>100</v>
      </c>
      <c r="N3" s="65"/>
      <c r="O3" s="65"/>
      <c r="P3" s="65"/>
      <c r="Q3" s="65"/>
      <c r="R3" s="17">
        <f>100-(75.72-75.72)/75.72*50</f>
        <v>100</v>
      </c>
      <c r="S3" s="66">
        <f>100-(78.67-78.67)/78.67*50</f>
        <v>100</v>
      </c>
      <c r="T3" s="22">
        <f>SUM(D3:S3)-K3-S3</f>
        <v>700</v>
      </c>
    </row>
    <row r="4" spans="1:22" x14ac:dyDescent="0.25">
      <c r="A4" s="24" t="s">
        <v>24</v>
      </c>
      <c r="B4" s="37" t="s">
        <v>150</v>
      </c>
      <c r="C4" s="35" t="s">
        <v>151</v>
      </c>
      <c r="D4" s="121">
        <f>100-(92.68-55.85)/55.85*50</f>
        <v>67.02775290957922</v>
      </c>
      <c r="E4" s="27">
        <f>100-(139.95-139.95)/139.95*50</f>
        <v>100</v>
      </c>
      <c r="F4" s="27">
        <f>100-(27.15-26.75)/26.75*50</f>
        <v>99.252336448598129</v>
      </c>
      <c r="G4" s="121">
        <f>100-(66.48-59.27)/59.27*50</f>
        <v>93.917664923232664</v>
      </c>
      <c r="H4" s="27">
        <f>100-(143.02-143.02)/143.02*50</f>
        <v>100</v>
      </c>
      <c r="I4" s="27">
        <f>100-(56.97-56.97)/56.97*50</f>
        <v>100</v>
      </c>
      <c r="J4" s="18">
        <f>100-(61.4-51.16)/51.16*50</f>
        <v>89.992181391712279</v>
      </c>
      <c r="K4" s="27">
        <f>100-(52.87-52.87)/52.87*50</f>
        <v>100</v>
      </c>
      <c r="L4" s="18">
        <f>100-(28.33-27.88)/27.88*50</f>
        <v>99.192969870875174</v>
      </c>
      <c r="M4" s="18">
        <f>100-(115.75-102.07)/102.07*50</f>
        <v>93.298716567061817</v>
      </c>
      <c r="N4" s="138" t="s">
        <v>33</v>
      </c>
      <c r="O4" s="19">
        <f>100-(153.62-153.62)/153.62*50</f>
        <v>100</v>
      </c>
      <c r="P4" s="18">
        <f>100-(53.2-42.93)/42.93*50</f>
        <v>88.038667598416026</v>
      </c>
      <c r="Q4" s="27">
        <f>100-(38.32-38.32)/38.32*50</f>
        <v>100</v>
      </c>
      <c r="R4" s="18">
        <f>100-(86.12-75.72)/75.72*50</f>
        <v>93.13259376650818</v>
      </c>
      <c r="S4" s="18">
        <f>100-(87.12-78.67)/78.67*50</f>
        <v>94.629464853184189</v>
      </c>
      <c r="T4" s="28">
        <f>SUM(D4:S4)-D4-G4-J4-L4-M4-P4-R4-S4</f>
        <v>699.25233644859748</v>
      </c>
    </row>
    <row r="5" spans="1:22" x14ac:dyDescent="0.25">
      <c r="A5" s="24" t="s">
        <v>27</v>
      </c>
      <c r="B5" s="41" t="s">
        <v>153</v>
      </c>
      <c r="C5" s="26" t="s">
        <v>71</v>
      </c>
      <c r="D5" s="27"/>
      <c r="E5" s="27">
        <f>100-(192.83-139.95)/139.95*50</f>
        <v>81.107538406573767</v>
      </c>
      <c r="F5" s="87"/>
      <c r="G5" s="68"/>
      <c r="H5" s="23"/>
      <c r="I5" s="23"/>
      <c r="J5" s="23"/>
      <c r="K5" s="27">
        <f>100-(96.23-52.87)/52.87*50</f>
        <v>58.99375827501418</v>
      </c>
      <c r="L5" s="27"/>
      <c r="M5" s="27"/>
      <c r="N5" s="19"/>
      <c r="O5" s="27"/>
      <c r="P5" s="27"/>
      <c r="Q5" s="27"/>
      <c r="R5" s="23"/>
      <c r="S5" s="19">
        <f>100-(139.77-78.67)/78.67*50</f>
        <v>61.166899707639502</v>
      </c>
      <c r="T5" s="28">
        <f>SUM(D5:S5)</f>
        <v>201.26819638922746</v>
      </c>
    </row>
    <row r="6" spans="1:22" x14ac:dyDescent="0.25">
      <c r="A6" s="24" t="s">
        <v>30</v>
      </c>
      <c r="B6" s="41" t="s">
        <v>164</v>
      </c>
      <c r="C6" s="26" t="s">
        <v>165</v>
      </c>
      <c r="D6" s="68"/>
      <c r="E6" s="23"/>
      <c r="F6" s="87"/>
      <c r="G6" s="68"/>
      <c r="H6" s="23"/>
      <c r="I6" s="23"/>
      <c r="J6" s="23"/>
      <c r="K6" s="23"/>
      <c r="L6" s="19"/>
      <c r="M6" s="23"/>
      <c r="N6" s="23"/>
      <c r="O6" s="23"/>
      <c r="P6" s="23"/>
      <c r="Q6" s="23"/>
      <c r="R6" s="19">
        <f>100-(84.97-75.72)/75.72*50</f>
        <v>93.891970417326988</v>
      </c>
      <c r="S6" s="31">
        <f>100-(106.57-78.67)/78.67*50</f>
        <v>82.267700521164357</v>
      </c>
      <c r="T6" s="28">
        <f>SUM(D6:S6)</f>
        <v>176.15967093849133</v>
      </c>
    </row>
    <row r="7" spans="1:22" x14ac:dyDescent="0.25">
      <c r="A7" s="24" t="s">
        <v>34</v>
      </c>
      <c r="B7" s="41" t="s">
        <v>154</v>
      </c>
      <c r="C7" s="26" t="s">
        <v>135</v>
      </c>
      <c r="D7" s="42"/>
      <c r="E7" s="27"/>
      <c r="F7" s="27"/>
      <c r="G7" s="27"/>
      <c r="H7" s="23"/>
      <c r="I7" s="23"/>
      <c r="J7" s="43"/>
      <c r="K7" s="19"/>
      <c r="L7" s="19"/>
      <c r="M7" s="19"/>
      <c r="N7" s="19"/>
      <c r="O7" s="19"/>
      <c r="P7" s="19">
        <f>100-(42.93-42.93)/42.93*50</f>
        <v>100</v>
      </c>
      <c r="Q7" s="19"/>
      <c r="R7" s="23"/>
      <c r="S7" s="95"/>
      <c r="T7" s="28">
        <f>SUM(D7:S7)</f>
        <v>100</v>
      </c>
    </row>
    <row r="8" spans="1:22" ht="15.75" thickBot="1" x14ac:dyDescent="0.3">
      <c r="A8" s="45" t="s">
        <v>37</v>
      </c>
      <c r="B8" s="72" t="s">
        <v>155</v>
      </c>
      <c r="C8" s="47" t="s">
        <v>26</v>
      </c>
      <c r="D8" s="72"/>
      <c r="E8" s="49"/>
      <c r="F8" s="49"/>
      <c r="G8" s="49"/>
      <c r="H8" s="74"/>
      <c r="I8" s="74"/>
      <c r="J8" s="74"/>
      <c r="K8" s="74"/>
      <c r="L8" s="49">
        <f>100-(38.45-27.88)/27.88*50</f>
        <v>81.043758967001423</v>
      </c>
      <c r="M8" s="74"/>
      <c r="N8" s="49"/>
      <c r="O8" s="49"/>
      <c r="P8" s="49"/>
      <c r="Q8" s="49"/>
      <c r="R8" s="74"/>
      <c r="S8" s="74"/>
      <c r="T8" s="54">
        <f>SUM(D8:S8)</f>
        <v>81.043758967001423</v>
      </c>
    </row>
    <row r="9" spans="1:22" x14ac:dyDescent="0.25">
      <c r="A9" s="2"/>
      <c r="B9" s="2"/>
      <c r="C9" s="2"/>
      <c r="D9" s="2"/>
      <c r="E9" s="2"/>
      <c r="F9" s="59"/>
      <c r="G9" s="2"/>
      <c r="H9" s="2"/>
      <c r="I9" s="2"/>
      <c r="J9" s="2"/>
      <c r="K9" s="2"/>
      <c r="L9" s="2"/>
      <c r="M9" s="97"/>
      <c r="N9" s="2"/>
      <c r="O9" s="2"/>
      <c r="P9" s="2"/>
      <c r="Q9" s="2"/>
      <c r="R9" s="2"/>
      <c r="S9" s="2"/>
      <c r="T9" s="58"/>
    </row>
    <row r="10" spans="1:22" x14ac:dyDescent="0.25">
      <c r="A10" s="2"/>
      <c r="B10" s="2"/>
      <c r="C10" s="2"/>
      <c r="D10" s="2"/>
      <c r="E10" s="2"/>
      <c r="F10" s="59"/>
      <c r="G10" s="2"/>
      <c r="H10" s="2"/>
      <c r="I10" s="2"/>
      <c r="J10" s="2"/>
      <c r="K10" s="2"/>
      <c r="L10" s="2"/>
      <c r="M10" s="2"/>
      <c r="N10" s="55"/>
      <c r="O10" s="55"/>
      <c r="P10" s="55"/>
      <c r="Q10" s="55"/>
      <c r="R10" s="2"/>
      <c r="S10" s="2"/>
      <c r="T10" s="58"/>
    </row>
    <row r="11" spans="1:22" x14ac:dyDescent="0.25">
      <c r="A11" s="2"/>
      <c r="B11" s="2"/>
      <c r="C11" s="2"/>
      <c r="D11" s="2"/>
      <c r="E11" s="2"/>
      <c r="F11" s="5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s="60" customFormat="1" x14ac:dyDescent="0.25">
      <c r="A12" s="60" t="s">
        <v>68</v>
      </c>
    </row>
    <row r="13" spans="1:22" s="61" customFormat="1" x14ac:dyDescent="0.25">
      <c r="A13" s="61" t="s">
        <v>69</v>
      </c>
    </row>
  </sheetData>
  <sortState ref="A4:T8">
    <sortCondition descending="1" ref="T3"/>
  </sortState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workbookViewId="0">
      <selection activeCell="W8" sqref="W8"/>
    </sheetView>
  </sheetViews>
  <sheetFormatPr defaultColWidth="9" defaultRowHeight="15" x14ac:dyDescent="0.25"/>
  <cols>
    <col min="1" max="1" width="5" style="3" customWidth="1"/>
    <col min="2" max="2" width="16.85546875" style="3" customWidth="1"/>
    <col min="3" max="3" width="17" style="3" customWidth="1"/>
    <col min="4" max="20" width="9.140625" style="3" customWidth="1"/>
    <col min="21" max="23" width="9" style="2"/>
    <col min="24" max="256" width="9" style="3"/>
    <col min="257" max="257" width="5" style="3" customWidth="1"/>
    <col min="258" max="258" width="20.7109375" style="3" customWidth="1"/>
    <col min="259" max="259" width="19.140625" style="3" customWidth="1"/>
    <col min="260" max="276" width="9.140625" style="3" customWidth="1"/>
    <col min="277" max="512" width="9" style="3"/>
    <col min="513" max="513" width="5" style="3" customWidth="1"/>
    <col min="514" max="514" width="20.7109375" style="3" customWidth="1"/>
    <col min="515" max="515" width="19.140625" style="3" customWidth="1"/>
    <col min="516" max="532" width="9.140625" style="3" customWidth="1"/>
    <col min="533" max="768" width="9" style="3"/>
    <col min="769" max="769" width="5" style="3" customWidth="1"/>
    <col min="770" max="770" width="20.7109375" style="3" customWidth="1"/>
    <col min="771" max="771" width="19.140625" style="3" customWidth="1"/>
    <col min="772" max="788" width="9.140625" style="3" customWidth="1"/>
    <col min="789" max="1024" width="9" style="3"/>
    <col min="1025" max="1025" width="5" style="3" customWidth="1"/>
    <col min="1026" max="1026" width="20.7109375" style="3" customWidth="1"/>
    <col min="1027" max="1027" width="19.140625" style="3" customWidth="1"/>
    <col min="1028" max="1044" width="9.140625" style="3" customWidth="1"/>
    <col min="1045" max="1280" width="9" style="3"/>
    <col min="1281" max="1281" width="5" style="3" customWidth="1"/>
    <col min="1282" max="1282" width="20.7109375" style="3" customWidth="1"/>
    <col min="1283" max="1283" width="19.140625" style="3" customWidth="1"/>
    <col min="1284" max="1300" width="9.140625" style="3" customWidth="1"/>
    <col min="1301" max="1536" width="9" style="3"/>
    <col min="1537" max="1537" width="5" style="3" customWidth="1"/>
    <col min="1538" max="1538" width="20.7109375" style="3" customWidth="1"/>
    <col min="1539" max="1539" width="19.140625" style="3" customWidth="1"/>
    <col min="1540" max="1556" width="9.140625" style="3" customWidth="1"/>
    <col min="1557" max="1792" width="9" style="3"/>
    <col min="1793" max="1793" width="5" style="3" customWidth="1"/>
    <col min="1794" max="1794" width="20.7109375" style="3" customWidth="1"/>
    <col min="1795" max="1795" width="19.140625" style="3" customWidth="1"/>
    <col min="1796" max="1812" width="9.140625" style="3" customWidth="1"/>
    <col min="1813" max="2048" width="9" style="3"/>
    <col min="2049" max="2049" width="5" style="3" customWidth="1"/>
    <col min="2050" max="2050" width="20.7109375" style="3" customWidth="1"/>
    <col min="2051" max="2051" width="19.140625" style="3" customWidth="1"/>
    <col min="2052" max="2068" width="9.140625" style="3" customWidth="1"/>
    <col min="2069" max="2304" width="9" style="3"/>
    <col min="2305" max="2305" width="5" style="3" customWidth="1"/>
    <col min="2306" max="2306" width="20.7109375" style="3" customWidth="1"/>
    <col min="2307" max="2307" width="19.140625" style="3" customWidth="1"/>
    <col min="2308" max="2324" width="9.140625" style="3" customWidth="1"/>
    <col min="2325" max="2560" width="9" style="3"/>
    <col min="2561" max="2561" width="5" style="3" customWidth="1"/>
    <col min="2562" max="2562" width="20.7109375" style="3" customWidth="1"/>
    <col min="2563" max="2563" width="19.140625" style="3" customWidth="1"/>
    <col min="2564" max="2580" width="9.140625" style="3" customWidth="1"/>
    <col min="2581" max="2816" width="9" style="3"/>
    <col min="2817" max="2817" width="5" style="3" customWidth="1"/>
    <col min="2818" max="2818" width="20.7109375" style="3" customWidth="1"/>
    <col min="2819" max="2819" width="19.140625" style="3" customWidth="1"/>
    <col min="2820" max="2836" width="9.140625" style="3" customWidth="1"/>
    <col min="2837" max="3072" width="9" style="3"/>
    <col min="3073" max="3073" width="5" style="3" customWidth="1"/>
    <col min="3074" max="3074" width="20.7109375" style="3" customWidth="1"/>
    <col min="3075" max="3075" width="19.140625" style="3" customWidth="1"/>
    <col min="3076" max="3092" width="9.140625" style="3" customWidth="1"/>
    <col min="3093" max="3328" width="9" style="3"/>
    <col min="3329" max="3329" width="5" style="3" customWidth="1"/>
    <col min="3330" max="3330" width="20.7109375" style="3" customWidth="1"/>
    <col min="3331" max="3331" width="19.140625" style="3" customWidth="1"/>
    <col min="3332" max="3348" width="9.140625" style="3" customWidth="1"/>
    <col min="3349" max="3584" width="9" style="3"/>
    <col min="3585" max="3585" width="5" style="3" customWidth="1"/>
    <col min="3586" max="3586" width="20.7109375" style="3" customWidth="1"/>
    <col min="3587" max="3587" width="19.140625" style="3" customWidth="1"/>
    <col min="3588" max="3604" width="9.140625" style="3" customWidth="1"/>
    <col min="3605" max="3840" width="9" style="3"/>
    <col min="3841" max="3841" width="5" style="3" customWidth="1"/>
    <col min="3842" max="3842" width="20.7109375" style="3" customWidth="1"/>
    <col min="3843" max="3843" width="19.140625" style="3" customWidth="1"/>
    <col min="3844" max="3860" width="9.140625" style="3" customWidth="1"/>
    <col min="3861" max="4096" width="9" style="3"/>
    <col min="4097" max="4097" width="5" style="3" customWidth="1"/>
    <col min="4098" max="4098" width="20.7109375" style="3" customWidth="1"/>
    <col min="4099" max="4099" width="19.140625" style="3" customWidth="1"/>
    <col min="4100" max="4116" width="9.140625" style="3" customWidth="1"/>
    <col min="4117" max="4352" width="9" style="3"/>
    <col min="4353" max="4353" width="5" style="3" customWidth="1"/>
    <col min="4354" max="4354" width="20.7109375" style="3" customWidth="1"/>
    <col min="4355" max="4355" width="19.140625" style="3" customWidth="1"/>
    <col min="4356" max="4372" width="9.140625" style="3" customWidth="1"/>
    <col min="4373" max="4608" width="9" style="3"/>
    <col min="4609" max="4609" width="5" style="3" customWidth="1"/>
    <col min="4610" max="4610" width="20.7109375" style="3" customWidth="1"/>
    <col min="4611" max="4611" width="19.140625" style="3" customWidth="1"/>
    <col min="4612" max="4628" width="9.140625" style="3" customWidth="1"/>
    <col min="4629" max="4864" width="9" style="3"/>
    <col min="4865" max="4865" width="5" style="3" customWidth="1"/>
    <col min="4866" max="4866" width="20.7109375" style="3" customWidth="1"/>
    <col min="4867" max="4867" width="19.140625" style="3" customWidth="1"/>
    <col min="4868" max="4884" width="9.140625" style="3" customWidth="1"/>
    <col min="4885" max="5120" width="9" style="3"/>
    <col min="5121" max="5121" width="5" style="3" customWidth="1"/>
    <col min="5122" max="5122" width="20.7109375" style="3" customWidth="1"/>
    <col min="5123" max="5123" width="19.140625" style="3" customWidth="1"/>
    <col min="5124" max="5140" width="9.140625" style="3" customWidth="1"/>
    <col min="5141" max="5376" width="9" style="3"/>
    <col min="5377" max="5377" width="5" style="3" customWidth="1"/>
    <col min="5378" max="5378" width="20.7109375" style="3" customWidth="1"/>
    <col min="5379" max="5379" width="19.140625" style="3" customWidth="1"/>
    <col min="5380" max="5396" width="9.140625" style="3" customWidth="1"/>
    <col min="5397" max="5632" width="9" style="3"/>
    <col min="5633" max="5633" width="5" style="3" customWidth="1"/>
    <col min="5634" max="5634" width="20.7109375" style="3" customWidth="1"/>
    <col min="5635" max="5635" width="19.140625" style="3" customWidth="1"/>
    <col min="5636" max="5652" width="9.140625" style="3" customWidth="1"/>
    <col min="5653" max="5888" width="9" style="3"/>
    <col min="5889" max="5889" width="5" style="3" customWidth="1"/>
    <col min="5890" max="5890" width="20.7109375" style="3" customWidth="1"/>
    <col min="5891" max="5891" width="19.140625" style="3" customWidth="1"/>
    <col min="5892" max="5908" width="9.140625" style="3" customWidth="1"/>
    <col min="5909" max="6144" width="9" style="3"/>
    <col min="6145" max="6145" width="5" style="3" customWidth="1"/>
    <col min="6146" max="6146" width="20.7109375" style="3" customWidth="1"/>
    <col min="6147" max="6147" width="19.140625" style="3" customWidth="1"/>
    <col min="6148" max="6164" width="9.140625" style="3" customWidth="1"/>
    <col min="6165" max="6400" width="9" style="3"/>
    <col min="6401" max="6401" width="5" style="3" customWidth="1"/>
    <col min="6402" max="6402" width="20.7109375" style="3" customWidth="1"/>
    <col min="6403" max="6403" width="19.140625" style="3" customWidth="1"/>
    <col min="6404" max="6420" width="9.140625" style="3" customWidth="1"/>
    <col min="6421" max="6656" width="9" style="3"/>
    <col min="6657" max="6657" width="5" style="3" customWidth="1"/>
    <col min="6658" max="6658" width="20.7109375" style="3" customWidth="1"/>
    <col min="6659" max="6659" width="19.140625" style="3" customWidth="1"/>
    <col min="6660" max="6676" width="9.140625" style="3" customWidth="1"/>
    <col min="6677" max="6912" width="9" style="3"/>
    <col min="6913" max="6913" width="5" style="3" customWidth="1"/>
    <col min="6914" max="6914" width="20.7109375" style="3" customWidth="1"/>
    <col min="6915" max="6915" width="19.140625" style="3" customWidth="1"/>
    <col min="6916" max="6932" width="9.140625" style="3" customWidth="1"/>
    <col min="6933" max="7168" width="9" style="3"/>
    <col min="7169" max="7169" width="5" style="3" customWidth="1"/>
    <col min="7170" max="7170" width="20.7109375" style="3" customWidth="1"/>
    <col min="7171" max="7171" width="19.140625" style="3" customWidth="1"/>
    <col min="7172" max="7188" width="9.140625" style="3" customWidth="1"/>
    <col min="7189" max="7424" width="9" style="3"/>
    <col min="7425" max="7425" width="5" style="3" customWidth="1"/>
    <col min="7426" max="7426" width="20.7109375" style="3" customWidth="1"/>
    <col min="7427" max="7427" width="19.140625" style="3" customWidth="1"/>
    <col min="7428" max="7444" width="9.140625" style="3" customWidth="1"/>
    <col min="7445" max="7680" width="9" style="3"/>
    <col min="7681" max="7681" width="5" style="3" customWidth="1"/>
    <col min="7682" max="7682" width="20.7109375" style="3" customWidth="1"/>
    <col min="7683" max="7683" width="19.140625" style="3" customWidth="1"/>
    <col min="7684" max="7700" width="9.140625" style="3" customWidth="1"/>
    <col min="7701" max="7936" width="9" style="3"/>
    <col min="7937" max="7937" width="5" style="3" customWidth="1"/>
    <col min="7938" max="7938" width="20.7109375" style="3" customWidth="1"/>
    <col min="7939" max="7939" width="19.140625" style="3" customWidth="1"/>
    <col min="7940" max="7956" width="9.140625" style="3" customWidth="1"/>
    <col min="7957" max="8192" width="9" style="3"/>
    <col min="8193" max="8193" width="5" style="3" customWidth="1"/>
    <col min="8194" max="8194" width="20.7109375" style="3" customWidth="1"/>
    <col min="8195" max="8195" width="19.140625" style="3" customWidth="1"/>
    <col min="8196" max="8212" width="9.140625" style="3" customWidth="1"/>
    <col min="8213" max="8448" width="9" style="3"/>
    <col min="8449" max="8449" width="5" style="3" customWidth="1"/>
    <col min="8450" max="8450" width="20.7109375" style="3" customWidth="1"/>
    <col min="8451" max="8451" width="19.140625" style="3" customWidth="1"/>
    <col min="8452" max="8468" width="9.140625" style="3" customWidth="1"/>
    <col min="8469" max="8704" width="9" style="3"/>
    <col min="8705" max="8705" width="5" style="3" customWidth="1"/>
    <col min="8706" max="8706" width="20.7109375" style="3" customWidth="1"/>
    <col min="8707" max="8707" width="19.140625" style="3" customWidth="1"/>
    <col min="8708" max="8724" width="9.140625" style="3" customWidth="1"/>
    <col min="8725" max="8960" width="9" style="3"/>
    <col min="8961" max="8961" width="5" style="3" customWidth="1"/>
    <col min="8962" max="8962" width="20.7109375" style="3" customWidth="1"/>
    <col min="8963" max="8963" width="19.140625" style="3" customWidth="1"/>
    <col min="8964" max="8980" width="9.140625" style="3" customWidth="1"/>
    <col min="8981" max="9216" width="9" style="3"/>
    <col min="9217" max="9217" width="5" style="3" customWidth="1"/>
    <col min="9218" max="9218" width="20.7109375" style="3" customWidth="1"/>
    <col min="9219" max="9219" width="19.140625" style="3" customWidth="1"/>
    <col min="9220" max="9236" width="9.140625" style="3" customWidth="1"/>
    <col min="9237" max="9472" width="9" style="3"/>
    <col min="9473" max="9473" width="5" style="3" customWidth="1"/>
    <col min="9474" max="9474" width="20.7109375" style="3" customWidth="1"/>
    <col min="9475" max="9475" width="19.140625" style="3" customWidth="1"/>
    <col min="9476" max="9492" width="9.140625" style="3" customWidth="1"/>
    <col min="9493" max="9728" width="9" style="3"/>
    <col min="9729" max="9729" width="5" style="3" customWidth="1"/>
    <col min="9730" max="9730" width="20.7109375" style="3" customWidth="1"/>
    <col min="9731" max="9731" width="19.140625" style="3" customWidth="1"/>
    <col min="9732" max="9748" width="9.140625" style="3" customWidth="1"/>
    <col min="9749" max="9984" width="9" style="3"/>
    <col min="9985" max="9985" width="5" style="3" customWidth="1"/>
    <col min="9986" max="9986" width="20.7109375" style="3" customWidth="1"/>
    <col min="9987" max="9987" width="19.140625" style="3" customWidth="1"/>
    <col min="9988" max="10004" width="9.140625" style="3" customWidth="1"/>
    <col min="10005" max="10240" width="9" style="3"/>
    <col min="10241" max="10241" width="5" style="3" customWidth="1"/>
    <col min="10242" max="10242" width="20.7109375" style="3" customWidth="1"/>
    <col min="10243" max="10243" width="19.140625" style="3" customWidth="1"/>
    <col min="10244" max="10260" width="9.140625" style="3" customWidth="1"/>
    <col min="10261" max="10496" width="9" style="3"/>
    <col min="10497" max="10497" width="5" style="3" customWidth="1"/>
    <col min="10498" max="10498" width="20.7109375" style="3" customWidth="1"/>
    <col min="10499" max="10499" width="19.140625" style="3" customWidth="1"/>
    <col min="10500" max="10516" width="9.140625" style="3" customWidth="1"/>
    <col min="10517" max="10752" width="9" style="3"/>
    <col min="10753" max="10753" width="5" style="3" customWidth="1"/>
    <col min="10754" max="10754" width="20.7109375" style="3" customWidth="1"/>
    <col min="10755" max="10755" width="19.140625" style="3" customWidth="1"/>
    <col min="10756" max="10772" width="9.140625" style="3" customWidth="1"/>
    <col min="10773" max="11008" width="9" style="3"/>
    <col min="11009" max="11009" width="5" style="3" customWidth="1"/>
    <col min="11010" max="11010" width="20.7109375" style="3" customWidth="1"/>
    <col min="11011" max="11011" width="19.140625" style="3" customWidth="1"/>
    <col min="11012" max="11028" width="9.140625" style="3" customWidth="1"/>
    <col min="11029" max="11264" width="9" style="3"/>
    <col min="11265" max="11265" width="5" style="3" customWidth="1"/>
    <col min="11266" max="11266" width="20.7109375" style="3" customWidth="1"/>
    <col min="11267" max="11267" width="19.140625" style="3" customWidth="1"/>
    <col min="11268" max="11284" width="9.140625" style="3" customWidth="1"/>
    <col min="11285" max="11520" width="9" style="3"/>
    <col min="11521" max="11521" width="5" style="3" customWidth="1"/>
    <col min="11522" max="11522" width="20.7109375" style="3" customWidth="1"/>
    <col min="11523" max="11523" width="19.140625" style="3" customWidth="1"/>
    <col min="11524" max="11540" width="9.140625" style="3" customWidth="1"/>
    <col min="11541" max="11776" width="9" style="3"/>
    <col min="11777" max="11777" width="5" style="3" customWidth="1"/>
    <col min="11778" max="11778" width="20.7109375" style="3" customWidth="1"/>
    <col min="11779" max="11779" width="19.140625" style="3" customWidth="1"/>
    <col min="11780" max="11796" width="9.140625" style="3" customWidth="1"/>
    <col min="11797" max="12032" width="9" style="3"/>
    <col min="12033" max="12033" width="5" style="3" customWidth="1"/>
    <col min="12034" max="12034" width="20.7109375" style="3" customWidth="1"/>
    <col min="12035" max="12035" width="19.140625" style="3" customWidth="1"/>
    <col min="12036" max="12052" width="9.140625" style="3" customWidth="1"/>
    <col min="12053" max="12288" width="9" style="3"/>
    <col min="12289" max="12289" width="5" style="3" customWidth="1"/>
    <col min="12290" max="12290" width="20.7109375" style="3" customWidth="1"/>
    <col min="12291" max="12291" width="19.140625" style="3" customWidth="1"/>
    <col min="12292" max="12308" width="9.140625" style="3" customWidth="1"/>
    <col min="12309" max="12544" width="9" style="3"/>
    <col min="12545" max="12545" width="5" style="3" customWidth="1"/>
    <col min="12546" max="12546" width="20.7109375" style="3" customWidth="1"/>
    <col min="12547" max="12547" width="19.140625" style="3" customWidth="1"/>
    <col min="12548" max="12564" width="9.140625" style="3" customWidth="1"/>
    <col min="12565" max="12800" width="9" style="3"/>
    <col min="12801" max="12801" width="5" style="3" customWidth="1"/>
    <col min="12802" max="12802" width="20.7109375" style="3" customWidth="1"/>
    <col min="12803" max="12803" width="19.140625" style="3" customWidth="1"/>
    <col min="12804" max="12820" width="9.140625" style="3" customWidth="1"/>
    <col min="12821" max="13056" width="9" style="3"/>
    <col min="13057" max="13057" width="5" style="3" customWidth="1"/>
    <col min="13058" max="13058" width="20.7109375" style="3" customWidth="1"/>
    <col min="13059" max="13059" width="19.140625" style="3" customWidth="1"/>
    <col min="13060" max="13076" width="9.140625" style="3" customWidth="1"/>
    <col min="13077" max="13312" width="9" style="3"/>
    <col min="13313" max="13313" width="5" style="3" customWidth="1"/>
    <col min="13314" max="13314" width="20.7109375" style="3" customWidth="1"/>
    <col min="13315" max="13315" width="19.140625" style="3" customWidth="1"/>
    <col min="13316" max="13332" width="9.140625" style="3" customWidth="1"/>
    <col min="13333" max="13568" width="9" style="3"/>
    <col min="13569" max="13569" width="5" style="3" customWidth="1"/>
    <col min="13570" max="13570" width="20.7109375" style="3" customWidth="1"/>
    <col min="13571" max="13571" width="19.140625" style="3" customWidth="1"/>
    <col min="13572" max="13588" width="9.140625" style="3" customWidth="1"/>
    <col min="13589" max="13824" width="9" style="3"/>
    <col min="13825" max="13825" width="5" style="3" customWidth="1"/>
    <col min="13826" max="13826" width="20.7109375" style="3" customWidth="1"/>
    <col min="13827" max="13827" width="19.140625" style="3" customWidth="1"/>
    <col min="13828" max="13844" width="9.140625" style="3" customWidth="1"/>
    <col min="13845" max="14080" width="9" style="3"/>
    <col min="14081" max="14081" width="5" style="3" customWidth="1"/>
    <col min="14082" max="14082" width="20.7109375" style="3" customWidth="1"/>
    <col min="14083" max="14083" width="19.140625" style="3" customWidth="1"/>
    <col min="14084" max="14100" width="9.140625" style="3" customWidth="1"/>
    <col min="14101" max="14336" width="9" style="3"/>
    <col min="14337" max="14337" width="5" style="3" customWidth="1"/>
    <col min="14338" max="14338" width="20.7109375" style="3" customWidth="1"/>
    <col min="14339" max="14339" width="19.140625" style="3" customWidth="1"/>
    <col min="14340" max="14356" width="9.140625" style="3" customWidth="1"/>
    <col min="14357" max="14592" width="9" style="3"/>
    <col min="14593" max="14593" width="5" style="3" customWidth="1"/>
    <col min="14594" max="14594" width="20.7109375" style="3" customWidth="1"/>
    <col min="14595" max="14595" width="19.140625" style="3" customWidth="1"/>
    <col min="14596" max="14612" width="9.140625" style="3" customWidth="1"/>
    <col min="14613" max="14848" width="9" style="3"/>
    <col min="14849" max="14849" width="5" style="3" customWidth="1"/>
    <col min="14850" max="14850" width="20.7109375" style="3" customWidth="1"/>
    <col min="14851" max="14851" width="19.140625" style="3" customWidth="1"/>
    <col min="14852" max="14868" width="9.140625" style="3" customWidth="1"/>
    <col min="14869" max="15104" width="9" style="3"/>
    <col min="15105" max="15105" width="5" style="3" customWidth="1"/>
    <col min="15106" max="15106" width="20.7109375" style="3" customWidth="1"/>
    <col min="15107" max="15107" width="19.140625" style="3" customWidth="1"/>
    <col min="15108" max="15124" width="9.140625" style="3" customWidth="1"/>
    <col min="15125" max="15360" width="9" style="3"/>
    <col min="15361" max="15361" width="5" style="3" customWidth="1"/>
    <col min="15362" max="15362" width="20.7109375" style="3" customWidth="1"/>
    <col min="15363" max="15363" width="19.140625" style="3" customWidth="1"/>
    <col min="15364" max="15380" width="9.140625" style="3" customWidth="1"/>
    <col min="15381" max="15616" width="9" style="3"/>
    <col min="15617" max="15617" width="5" style="3" customWidth="1"/>
    <col min="15618" max="15618" width="20.7109375" style="3" customWidth="1"/>
    <col min="15619" max="15619" width="19.140625" style="3" customWidth="1"/>
    <col min="15620" max="15636" width="9.140625" style="3" customWidth="1"/>
    <col min="15637" max="15872" width="9" style="3"/>
    <col min="15873" max="15873" width="5" style="3" customWidth="1"/>
    <col min="15874" max="15874" width="20.7109375" style="3" customWidth="1"/>
    <col min="15875" max="15875" width="19.140625" style="3" customWidth="1"/>
    <col min="15876" max="15892" width="9.140625" style="3" customWidth="1"/>
    <col min="15893" max="16128" width="9" style="3"/>
    <col min="16129" max="16129" width="5" style="3" customWidth="1"/>
    <col min="16130" max="16130" width="20.7109375" style="3" customWidth="1"/>
    <col min="16131" max="16131" width="19.140625" style="3" customWidth="1"/>
    <col min="16132" max="16148" width="9.140625" style="3" customWidth="1"/>
    <col min="16149" max="16384" width="9" style="3"/>
  </cols>
  <sheetData>
    <row r="1" spans="1:23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3" ht="159.75" thickBot="1" x14ac:dyDescent="0.3">
      <c r="A2" s="5" t="s">
        <v>1</v>
      </c>
      <c r="B2" s="63" t="s">
        <v>2</v>
      </c>
      <c r="C2" s="63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149" t="s">
        <v>19</v>
      </c>
      <c r="T2" s="9" t="s">
        <v>20</v>
      </c>
      <c r="U2" s="10"/>
      <c r="V2" s="10"/>
    </row>
    <row r="3" spans="1:23" x14ac:dyDescent="0.25">
      <c r="A3" s="64" t="s">
        <v>21</v>
      </c>
      <c r="B3" s="65" t="s">
        <v>70</v>
      </c>
      <c r="C3" s="65" t="s">
        <v>71</v>
      </c>
      <c r="D3" s="17">
        <f>100-(72.57-72.57)/72.57*50</f>
        <v>100</v>
      </c>
      <c r="E3" s="17">
        <f>100-(86.5-86.5)/86.5*50</f>
        <v>100</v>
      </c>
      <c r="F3" s="17">
        <f>100-(36.45-36.45)/36.45*50</f>
        <v>100</v>
      </c>
      <c r="G3" s="17">
        <f>100-(85.08-85.08)/85.08*50</f>
        <v>100</v>
      </c>
      <c r="H3" s="17">
        <f>100-(88.67-88.67)/88.67*50</f>
        <v>100</v>
      </c>
      <c r="I3" s="17">
        <f>100-(69.25-69.25)/69.25*50</f>
        <v>100</v>
      </c>
      <c r="J3" s="17"/>
      <c r="K3" s="17">
        <f>100-(103.27-103.27)/103.27*50</f>
        <v>100</v>
      </c>
      <c r="L3" s="66">
        <f>100-(29.05-29.05)/29.05*50</f>
        <v>100</v>
      </c>
      <c r="M3" s="66">
        <f>100-(109.57-109.57)/109.57*50</f>
        <v>100</v>
      </c>
      <c r="N3" s="66">
        <f>100-(49.57-49.57)/49.57*50</f>
        <v>100</v>
      </c>
      <c r="O3" s="66">
        <f>100-(99.93-99.93)/99.93*50</f>
        <v>100</v>
      </c>
      <c r="P3" s="66">
        <f>100-(38.57-38.57)/38.57*50</f>
        <v>100</v>
      </c>
      <c r="Q3" s="66">
        <f>100-(49.12-49.12)/49.12*50</f>
        <v>100</v>
      </c>
      <c r="R3" s="66">
        <f>100-(55-55)/55*50</f>
        <v>100</v>
      </c>
      <c r="S3" s="150">
        <f>100-(66.43-66.43)/66.43*50</f>
        <v>100</v>
      </c>
      <c r="T3" s="22">
        <f>SUM(D3:S3)-L3-M3-N3-O3-P3-Q3-R3-S3</f>
        <v>700</v>
      </c>
    </row>
    <row r="4" spans="1:23" x14ac:dyDescent="0.25">
      <c r="A4" s="67" t="s">
        <v>24</v>
      </c>
      <c r="B4" s="23" t="s">
        <v>72</v>
      </c>
      <c r="C4" s="23" t="s">
        <v>42</v>
      </c>
      <c r="D4" s="68"/>
      <c r="E4" s="68"/>
      <c r="F4" s="23"/>
      <c r="G4" s="23"/>
      <c r="H4" s="68"/>
      <c r="I4" s="23"/>
      <c r="J4" s="68"/>
      <c r="K4" s="23"/>
      <c r="L4" s="19">
        <f>100-(33.82-29.05)/29.05*50</f>
        <v>91.790017211703955</v>
      </c>
      <c r="M4" s="19"/>
      <c r="N4" s="19">
        <f>100-(59.22-49.57)/49.57*50</f>
        <v>90.266290094815417</v>
      </c>
      <c r="O4" s="19">
        <f>100-(122.73-99.93)/99.93*50</f>
        <v>88.59201441008706</v>
      </c>
      <c r="P4" s="19">
        <f>100-(54.32-38.57)/38.57*50</f>
        <v>79.582577132486392</v>
      </c>
      <c r="Q4" s="19">
        <f>100-(60.68-49.12)/49.12*50</f>
        <v>88.232899022801305</v>
      </c>
      <c r="R4" s="19">
        <f>100-(79.77-55)/55*50</f>
        <v>77.481818181818184</v>
      </c>
      <c r="S4" s="83">
        <f>100-(81.67-66.43)/66.43*50</f>
        <v>88.529278940237845</v>
      </c>
      <c r="T4" s="28">
        <f t="shared" ref="T4:T10" si="0">SUM(D4:S4)</f>
        <v>604.47489499395022</v>
      </c>
    </row>
    <row r="5" spans="1:23" x14ac:dyDescent="0.25">
      <c r="A5" s="67" t="s">
        <v>27</v>
      </c>
      <c r="B5" s="23" t="s">
        <v>73</v>
      </c>
      <c r="C5" s="23" t="s">
        <v>42</v>
      </c>
      <c r="D5" s="27">
        <f>100-(97.67-72.57)/72.57*50</f>
        <v>82.706352487253682</v>
      </c>
      <c r="E5" s="27">
        <f>100-(136.67-86.5)/86.5*50</f>
        <v>71</v>
      </c>
      <c r="F5" s="23"/>
      <c r="G5" s="23"/>
      <c r="H5" s="23"/>
      <c r="I5" s="23"/>
      <c r="J5" s="68"/>
      <c r="K5" s="19">
        <f>100-(152.05-103.27)/103.27*50</f>
        <v>76.38229882831412</v>
      </c>
      <c r="L5" s="19">
        <f>100-(42.08-29.05)/29.05*50</f>
        <v>77.573149741824437</v>
      </c>
      <c r="M5" s="27"/>
      <c r="N5" s="23"/>
      <c r="O5" s="23"/>
      <c r="P5" s="23"/>
      <c r="Q5" s="23"/>
      <c r="R5" s="27">
        <f>100-(86.35-55)/55*50</f>
        <v>71.5</v>
      </c>
      <c r="S5" s="83">
        <f>100-(131.9-66.43)/66.43*50</f>
        <v>50.722565106126751</v>
      </c>
      <c r="T5" s="28">
        <f t="shared" si="0"/>
        <v>429.88436616351902</v>
      </c>
    </row>
    <row r="6" spans="1:23" x14ac:dyDescent="0.25">
      <c r="A6" s="67" t="s">
        <v>30</v>
      </c>
      <c r="B6" s="23" t="s">
        <v>74</v>
      </c>
      <c r="C6" s="69" t="s">
        <v>75</v>
      </c>
      <c r="D6" s="19">
        <f>100-(91.45-72.57)/72.57*50</f>
        <v>86.99186991869918</v>
      </c>
      <c r="E6" s="27">
        <f>100-(111.05-86.5)/86.5*50</f>
        <v>85.809248554913296</v>
      </c>
      <c r="F6" s="23"/>
      <c r="G6" s="23"/>
      <c r="H6" s="23"/>
      <c r="I6" s="23"/>
      <c r="J6" s="27">
        <f>100-(108.6-108.6)/108.6*50</f>
        <v>100</v>
      </c>
      <c r="K6" s="23"/>
      <c r="L6" s="27"/>
      <c r="M6" s="19"/>
      <c r="N6" s="23"/>
      <c r="O6" s="23"/>
      <c r="P6" s="68"/>
      <c r="Q6" s="68"/>
      <c r="R6" s="19"/>
      <c r="S6" s="31"/>
      <c r="T6" s="28">
        <f t="shared" si="0"/>
        <v>272.80111847361246</v>
      </c>
    </row>
    <row r="7" spans="1:23" x14ac:dyDescent="0.25">
      <c r="A7" s="67" t="s">
        <v>34</v>
      </c>
      <c r="B7" s="23" t="s">
        <v>76</v>
      </c>
      <c r="C7" s="23" t="s">
        <v>71</v>
      </c>
      <c r="D7" s="21">
        <f>100-(96.93-72.57)/72.57*50</f>
        <v>83.216205043406347</v>
      </c>
      <c r="E7" s="27">
        <f>100-(101.58-86.5)/86.5*50</f>
        <v>91.283236994219649</v>
      </c>
      <c r="F7" s="19"/>
      <c r="G7" s="19"/>
      <c r="H7" s="19">
        <f>100-(130.47-88.67)/88.67*50</f>
        <v>76.429457539190253</v>
      </c>
      <c r="I7" s="23"/>
      <c r="J7" s="19"/>
      <c r="K7" s="27"/>
      <c r="L7" s="27"/>
      <c r="M7" s="27"/>
      <c r="N7" s="23"/>
      <c r="O7" s="23"/>
      <c r="P7" s="23"/>
      <c r="Q7" s="23"/>
      <c r="R7" s="19"/>
      <c r="S7" s="31"/>
      <c r="T7" s="28">
        <f t="shared" si="0"/>
        <v>250.92889957681626</v>
      </c>
    </row>
    <row r="8" spans="1:23" x14ac:dyDescent="0.25">
      <c r="A8" s="67" t="s">
        <v>37</v>
      </c>
      <c r="B8" s="23" t="s">
        <v>77</v>
      </c>
      <c r="C8" s="23" t="s">
        <v>39</v>
      </c>
      <c r="D8" s="23"/>
      <c r="E8" s="19">
        <f>100-(112.42-86.5)/86.5*50</f>
        <v>85.017341040462426</v>
      </c>
      <c r="F8" s="23"/>
      <c r="G8" s="23"/>
      <c r="H8" s="23"/>
      <c r="I8" s="23"/>
      <c r="J8" s="19"/>
      <c r="K8" s="27">
        <f>100-(154.63-103.27)/103.27*50</f>
        <v>75.133146121816594</v>
      </c>
      <c r="L8" s="19"/>
      <c r="M8" s="27"/>
      <c r="N8" s="68"/>
      <c r="O8" s="68"/>
      <c r="P8" s="68"/>
      <c r="Q8" s="68"/>
      <c r="R8" s="23"/>
      <c r="S8" s="83">
        <f>100-(80.23-66.43)/66.43*50</f>
        <v>89.613126599427972</v>
      </c>
      <c r="T8" s="28">
        <f t="shared" si="0"/>
        <v>249.76361376170701</v>
      </c>
    </row>
    <row r="9" spans="1:23" x14ac:dyDescent="0.25">
      <c r="A9" s="67" t="s">
        <v>40</v>
      </c>
      <c r="B9" s="23" t="s">
        <v>78</v>
      </c>
      <c r="C9" s="23" t="s">
        <v>71</v>
      </c>
      <c r="D9" s="70"/>
      <c r="E9" s="27"/>
      <c r="F9" s="19"/>
      <c r="G9" s="19"/>
      <c r="H9" s="23"/>
      <c r="I9" s="23"/>
      <c r="J9" s="19"/>
      <c r="K9" s="19">
        <f>100-(134.78-103.27)/103.27*50</f>
        <v>84.74387527839643</v>
      </c>
      <c r="L9" s="27"/>
      <c r="M9" s="27"/>
      <c r="N9" s="19"/>
      <c r="O9" s="19"/>
      <c r="P9" s="19"/>
      <c r="Q9" s="19"/>
      <c r="R9" s="19"/>
      <c r="S9" s="103"/>
      <c r="T9" s="28">
        <f t="shared" si="0"/>
        <v>84.74387527839643</v>
      </c>
    </row>
    <row r="10" spans="1:23" ht="15.75" thickBot="1" x14ac:dyDescent="0.3">
      <c r="A10" s="71" t="s">
        <v>43</v>
      </c>
      <c r="B10" s="74" t="s">
        <v>79</v>
      </c>
      <c r="C10" s="74" t="s">
        <v>42</v>
      </c>
      <c r="D10" s="74"/>
      <c r="E10" s="135"/>
      <c r="F10" s="74"/>
      <c r="G10" s="74"/>
      <c r="H10" s="74"/>
      <c r="I10" s="74"/>
      <c r="J10" s="74"/>
      <c r="K10" s="74"/>
      <c r="L10" s="52"/>
      <c r="M10" s="52"/>
      <c r="N10" s="74"/>
      <c r="O10" s="74"/>
      <c r="P10" s="52">
        <f>100-(60.45-38.57)/38.57*50</f>
        <v>71.63598651801918</v>
      </c>
      <c r="Q10" s="74"/>
      <c r="R10" s="74"/>
      <c r="S10" s="73"/>
      <c r="T10" s="54">
        <f t="shared" si="0"/>
        <v>71.63598651801918</v>
      </c>
    </row>
    <row r="11" spans="1:23" s="76" customForma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55"/>
      <c r="M11" s="75"/>
      <c r="N11" s="2"/>
      <c r="O11" s="2"/>
      <c r="P11" s="2"/>
      <c r="Q11" s="2"/>
      <c r="R11" s="2"/>
      <c r="S11" s="2"/>
      <c r="T11" s="58"/>
      <c r="U11" s="2"/>
      <c r="V11" s="2"/>
      <c r="W11" s="2"/>
    </row>
    <row r="12" spans="1:23" s="77" customFormat="1" x14ac:dyDescent="0.25">
      <c r="L12" s="78"/>
      <c r="M12" s="79"/>
      <c r="N12" s="78"/>
      <c r="O12" s="78"/>
      <c r="P12" s="78"/>
      <c r="Q12" s="78"/>
      <c r="T12" s="80"/>
      <c r="U12" s="2"/>
      <c r="V12" s="2"/>
      <c r="W12" s="2"/>
    </row>
    <row r="13" spans="1:23" s="2" customFormat="1" x14ac:dyDescent="0.25">
      <c r="T13" s="55"/>
    </row>
    <row r="14" spans="1:23" s="60" customFormat="1" x14ac:dyDescent="0.25">
      <c r="A14" s="60" t="s">
        <v>68</v>
      </c>
    </row>
    <row r="15" spans="1:23" s="61" customFormat="1" x14ac:dyDescent="0.25">
      <c r="A15" s="61" t="s">
        <v>69</v>
      </c>
    </row>
  </sheetData>
  <sortState ref="A3:T10">
    <sortCondition descending="1" ref="T3"/>
  </sortState>
  <mergeCells count="1">
    <mergeCell ref="A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workbookViewId="0">
      <selection activeCell="R20" sqref="R20"/>
    </sheetView>
  </sheetViews>
  <sheetFormatPr defaultColWidth="9" defaultRowHeight="15" x14ac:dyDescent="0.25"/>
  <cols>
    <col min="1" max="1" width="5.140625" style="3" customWidth="1"/>
    <col min="2" max="2" width="20.85546875" style="3" customWidth="1"/>
    <col min="3" max="3" width="9" style="3"/>
    <col min="4" max="7" width="9.140625" style="62" customWidth="1"/>
    <col min="8" max="20" width="9.140625" style="3" customWidth="1"/>
    <col min="21" max="30" width="9" style="2"/>
    <col min="31" max="256" width="9" style="3"/>
    <col min="257" max="257" width="5.140625" style="3" customWidth="1"/>
    <col min="258" max="258" width="20.85546875" style="3" customWidth="1"/>
    <col min="259" max="259" width="9" style="3"/>
    <col min="260" max="276" width="9.140625" style="3" customWidth="1"/>
    <col min="277" max="512" width="9" style="3"/>
    <col min="513" max="513" width="5.140625" style="3" customWidth="1"/>
    <col min="514" max="514" width="20.85546875" style="3" customWidth="1"/>
    <col min="515" max="515" width="9" style="3"/>
    <col min="516" max="532" width="9.140625" style="3" customWidth="1"/>
    <col min="533" max="768" width="9" style="3"/>
    <col min="769" max="769" width="5.140625" style="3" customWidth="1"/>
    <col min="770" max="770" width="20.85546875" style="3" customWidth="1"/>
    <col min="771" max="771" width="9" style="3"/>
    <col min="772" max="788" width="9.140625" style="3" customWidth="1"/>
    <col min="789" max="1024" width="9" style="3"/>
    <col min="1025" max="1025" width="5.140625" style="3" customWidth="1"/>
    <col min="1026" max="1026" width="20.85546875" style="3" customWidth="1"/>
    <col min="1027" max="1027" width="9" style="3"/>
    <col min="1028" max="1044" width="9.140625" style="3" customWidth="1"/>
    <col min="1045" max="1280" width="9" style="3"/>
    <col min="1281" max="1281" width="5.140625" style="3" customWidth="1"/>
    <col min="1282" max="1282" width="20.85546875" style="3" customWidth="1"/>
    <col min="1283" max="1283" width="9" style="3"/>
    <col min="1284" max="1300" width="9.140625" style="3" customWidth="1"/>
    <col min="1301" max="1536" width="9" style="3"/>
    <col min="1537" max="1537" width="5.140625" style="3" customWidth="1"/>
    <col min="1538" max="1538" width="20.85546875" style="3" customWidth="1"/>
    <col min="1539" max="1539" width="9" style="3"/>
    <col min="1540" max="1556" width="9.140625" style="3" customWidth="1"/>
    <col min="1557" max="1792" width="9" style="3"/>
    <col min="1793" max="1793" width="5.140625" style="3" customWidth="1"/>
    <col min="1794" max="1794" width="20.85546875" style="3" customWidth="1"/>
    <col min="1795" max="1795" width="9" style="3"/>
    <col min="1796" max="1812" width="9.140625" style="3" customWidth="1"/>
    <col min="1813" max="2048" width="9" style="3"/>
    <col min="2049" max="2049" width="5.140625" style="3" customWidth="1"/>
    <col min="2050" max="2050" width="20.85546875" style="3" customWidth="1"/>
    <col min="2051" max="2051" width="9" style="3"/>
    <col min="2052" max="2068" width="9.140625" style="3" customWidth="1"/>
    <col min="2069" max="2304" width="9" style="3"/>
    <col min="2305" max="2305" width="5.140625" style="3" customWidth="1"/>
    <col min="2306" max="2306" width="20.85546875" style="3" customWidth="1"/>
    <col min="2307" max="2307" width="9" style="3"/>
    <col min="2308" max="2324" width="9.140625" style="3" customWidth="1"/>
    <col min="2325" max="2560" width="9" style="3"/>
    <col min="2561" max="2561" width="5.140625" style="3" customWidth="1"/>
    <col min="2562" max="2562" width="20.85546875" style="3" customWidth="1"/>
    <col min="2563" max="2563" width="9" style="3"/>
    <col min="2564" max="2580" width="9.140625" style="3" customWidth="1"/>
    <col min="2581" max="2816" width="9" style="3"/>
    <col min="2817" max="2817" width="5.140625" style="3" customWidth="1"/>
    <col min="2818" max="2818" width="20.85546875" style="3" customWidth="1"/>
    <col min="2819" max="2819" width="9" style="3"/>
    <col min="2820" max="2836" width="9.140625" style="3" customWidth="1"/>
    <col min="2837" max="3072" width="9" style="3"/>
    <col min="3073" max="3073" width="5.140625" style="3" customWidth="1"/>
    <col min="3074" max="3074" width="20.85546875" style="3" customWidth="1"/>
    <col min="3075" max="3075" width="9" style="3"/>
    <col min="3076" max="3092" width="9.140625" style="3" customWidth="1"/>
    <col min="3093" max="3328" width="9" style="3"/>
    <col min="3329" max="3329" width="5.140625" style="3" customWidth="1"/>
    <col min="3330" max="3330" width="20.85546875" style="3" customWidth="1"/>
    <col min="3331" max="3331" width="9" style="3"/>
    <col min="3332" max="3348" width="9.140625" style="3" customWidth="1"/>
    <col min="3349" max="3584" width="9" style="3"/>
    <col min="3585" max="3585" width="5.140625" style="3" customWidth="1"/>
    <col min="3586" max="3586" width="20.85546875" style="3" customWidth="1"/>
    <col min="3587" max="3587" width="9" style="3"/>
    <col min="3588" max="3604" width="9.140625" style="3" customWidth="1"/>
    <col min="3605" max="3840" width="9" style="3"/>
    <col min="3841" max="3841" width="5.140625" style="3" customWidth="1"/>
    <col min="3842" max="3842" width="20.85546875" style="3" customWidth="1"/>
    <col min="3843" max="3843" width="9" style="3"/>
    <col min="3844" max="3860" width="9.140625" style="3" customWidth="1"/>
    <col min="3861" max="4096" width="9" style="3"/>
    <col min="4097" max="4097" width="5.140625" style="3" customWidth="1"/>
    <col min="4098" max="4098" width="20.85546875" style="3" customWidth="1"/>
    <col min="4099" max="4099" width="9" style="3"/>
    <col min="4100" max="4116" width="9.140625" style="3" customWidth="1"/>
    <col min="4117" max="4352" width="9" style="3"/>
    <col min="4353" max="4353" width="5.140625" style="3" customWidth="1"/>
    <col min="4354" max="4354" width="20.85546875" style="3" customWidth="1"/>
    <col min="4355" max="4355" width="9" style="3"/>
    <col min="4356" max="4372" width="9.140625" style="3" customWidth="1"/>
    <col min="4373" max="4608" width="9" style="3"/>
    <col min="4609" max="4609" width="5.140625" style="3" customWidth="1"/>
    <col min="4610" max="4610" width="20.85546875" style="3" customWidth="1"/>
    <col min="4611" max="4611" width="9" style="3"/>
    <col min="4612" max="4628" width="9.140625" style="3" customWidth="1"/>
    <col min="4629" max="4864" width="9" style="3"/>
    <col min="4865" max="4865" width="5.140625" style="3" customWidth="1"/>
    <col min="4866" max="4866" width="20.85546875" style="3" customWidth="1"/>
    <col min="4867" max="4867" width="9" style="3"/>
    <col min="4868" max="4884" width="9.140625" style="3" customWidth="1"/>
    <col min="4885" max="5120" width="9" style="3"/>
    <col min="5121" max="5121" width="5.140625" style="3" customWidth="1"/>
    <col min="5122" max="5122" width="20.85546875" style="3" customWidth="1"/>
    <col min="5123" max="5123" width="9" style="3"/>
    <col min="5124" max="5140" width="9.140625" style="3" customWidth="1"/>
    <col min="5141" max="5376" width="9" style="3"/>
    <col min="5377" max="5377" width="5.140625" style="3" customWidth="1"/>
    <col min="5378" max="5378" width="20.85546875" style="3" customWidth="1"/>
    <col min="5379" max="5379" width="9" style="3"/>
    <col min="5380" max="5396" width="9.140625" style="3" customWidth="1"/>
    <col min="5397" max="5632" width="9" style="3"/>
    <col min="5633" max="5633" width="5.140625" style="3" customWidth="1"/>
    <col min="5634" max="5634" width="20.85546875" style="3" customWidth="1"/>
    <col min="5635" max="5635" width="9" style="3"/>
    <col min="5636" max="5652" width="9.140625" style="3" customWidth="1"/>
    <col min="5653" max="5888" width="9" style="3"/>
    <col min="5889" max="5889" width="5.140625" style="3" customWidth="1"/>
    <col min="5890" max="5890" width="20.85546875" style="3" customWidth="1"/>
    <col min="5891" max="5891" width="9" style="3"/>
    <col min="5892" max="5908" width="9.140625" style="3" customWidth="1"/>
    <col min="5909" max="6144" width="9" style="3"/>
    <col min="6145" max="6145" width="5.140625" style="3" customWidth="1"/>
    <col min="6146" max="6146" width="20.85546875" style="3" customWidth="1"/>
    <col min="6147" max="6147" width="9" style="3"/>
    <col min="6148" max="6164" width="9.140625" style="3" customWidth="1"/>
    <col min="6165" max="6400" width="9" style="3"/>
    <col min="6401" max="6401" width="5.140625" style="3" customWidth="1"/>
    <col min="6402" max="6402" width="20.85546875" style="3" customWidth="1"/>
    <col min="6403" max="6403" width="9" style="3"/>
    <col min="6404" max="6420" width="9.140625" style="3" customWidth="1"/>
    <col min="6421" max="6656" width="9" style="3"/>
    <col min="6657" max="6657" width="5.140625" style="3" customWidth="1"/>
    <col min="6658" max="6658" width="20.85546875" style="3" customWidth="1"/>
    <col min="6659" max="6659" width="9" style="3"/>
    <col min="6660" max="6676" width="9.140625" style="3" customWidth="1"/>
    <col min="6677" max="6912" width="9" style="3"/>
    <col min="6913" max="6913" width="5.140625" style="3" customWidth="1"/>
    <col min="6914" max="6914" width="20.85546875" style="3" customWidth="1"/>
    <col min="6915" max="6915" width="9" style="3"/>
    <col min="6916" max="6932" width="9.140625" style="3" customWidth="1"/>
    <col min="6933" max="7168" width="9" style="3"/>
    <col min="7169" max="7169" width="5.140625" style="3" customWidth="1"/>
    <col min="7170" max="7170" width="20.85546875" style="3" customWidth="1"/>
    <col min="7171" max="7171" width="9" style="3"/>
    <col min="7172" max="7188" width="9.140625" style="3" customWidth="1"/>
    <col min="7189" max="7424" width="9" style="3"/>
    <col min="7425" max="7425" width="5.140625" style="3" customWidth="1"/>
    <col min="7426" max="7426" width="20.85546875" style="3" customWidth="1"/>
    <col min="7427" max="7427" width="9" style="3"/>
    <col min="7428" max="7444" width="9.140625" style="3" customWidth="1"/>
    <col min="7445" max="7680" width="9" style="3"/>
    <col min="7681" max="7681" width="5.140625" style="3" customWidth="1"/>
    <col min="7682" max="7682" width="20.85546875" style="3" customWidth="1"/>
    <col min="7683" max="7683" width="9" style="3"/>
    <col min="7684" max="7700" width="9.140625" style="3" customWidth="1"/>
    <col min="7701" max="7936" width="9" style="3"/>
    <col min="7937" max="7937" width="5.140625" style="3" customWidth="1"/>
    <col min="7938" max="7938" width="20.85546875" style="3" customWidth="1"/>
    <col min="7939" max="7939" width="9" style="3"/>
    <col min="7940" max="7956" width="9.140625" style="3" customWidth="1"/>
    <col min="7957" max="8192" width="9" style="3"/>
    <col min="8193" max="8193" width="5.140625" style="3" customWidth="1"/>
    <col min="8194" max="8194" width="20.85546875" style="3" customWidth="1"/>
    <col min="8195" max="8195" width="9" style="3"/>
    <col min="8196" max="8212" width="9.140625" style="3" customWidth="1"/>
    <col min="8213" max="8448" width="9" style="3"/>
    <col min="8449" max="8449" width="5.140625" style="3" customWidth="1"/>
    <col min="8450" max="8450" width="20.85546875" style="3" customWidth="1"/>
    <col min="8451" max="8451" width="9" style="3"/>
    <col min="8452" max="8468" width="9.140625" style="3" customWidth="1"/>
    <col min="8469" max="8704" width="9" style="3"/>
    <col min="8705" max="8705" width="5.140625" style="3" customWidth="1"/>
    <col min="8706" max="8706" width="20.85546875" style="3" customWidth="1"/>
    <col min="8707" max="8707" width="9" style="3"/>
    <col min="8708" max="8724" width="9.140625" style="3" customWidth="1"/>
    <col min="8725" max="8960" width="9" style="3"/>
    <col min="8961" max="8961" width="5.140625" style="3" customWidth="1"/>
    <col min="8962" max="8962" width="20.85546875" style="3" customWidth="1"/>
    <col min="8963" max="8963" width="9" style="3"/>
    <col min="8964" max="8980" width="9.140625" style="3" customWidth="1"/>
    <col min="8981" max="9216" width="9" style="3"/>
    <col min="9217" max="9217" width="5.140625" style="3" customWidth="1"/>
    <col min="9218" max="9218" width="20.85546875" style="3" customWidth="1"/>
    <col min="9219" max="9219" width="9" style="3"/>
    <col min="9220" max="9236" width="9.140625" style="3" customWidth="1"/>
    <col min="9237" max="9472" width="9" style="3"/>
    <col min="9473" max="9473" width="5.140625" style="3" customWidth="1"/>
    <col min="9474" max="9474" width="20.85546875" style="3" customWidth="1"/>
    <col min="9475" max="9475" width="9" style="3"/>
    <col min="9476" max="9492" width="9.140625" style="3" customWidth="1"/>
    <col min="9493" max="9728" width="9" style="3"/>
    <col min="9729" max="9729" width="5.140625" style="3" customWidth="1"/>
    <col min="9730" max="9730" width="20.85546875" style="3" customWidth="1"/>
    <col min="9731" max="9731" width="9" style="3"/>
    <col min="9732" max="9748" width="9.140625" style="3" customWidth="1"/>
    <col min="9749" max="9984" width="9" style="3"/>
    <col min="9985" max="9985" width="5.140625" style="3" customWidth="1"/>
    <col min="9986" max="9986" width="20.85546875" style="3" customWidth="1"/>
    <col min="9987" max="9987" width="9" style="3"/>
    <col min="9988" max="10004" width="9.140625" style="3" customWidth="1"/>
    <col min="10005" max="10240" width="9" style="3"/>
    <col min="10241" max="10241" width="5.140625" style="3" customWidth="1"/>
    <col min="10242" max="10242" width="20.85546875" style="3" customWidth="1"/>
    <col min="10243" max="10243" width="9" style="3"/>
    <col min="10244" max="10260" width="9.140625" style="3" customWidth="1"/>
    <col min="10261" max="10496" width="9" style="3"/>
    <col min="10497" max="10497" width="5.140625" style="3" customWidth="1"/>
    <col min="10498" max="10498" width="20.85546875" style="3" customWidth="1"/>
    <col min="10499" max="10499" width="9" style="3"/>
    <col min="10500" max="10516" width="9.140625" style="3" customWidth="1"/>
    <col min="10517" max="10752" width="9" style="3"/>
    <col min="10753" max="10753" width="5.140625" style="3" customWidth="1"/>
    <col min="10754" max="10754" width="20.85546875" style="3" customWidth="1"/>
    <col min="10755" max="10755" width="9" style="3"/>
    <col min="10756" max="10772" width="9.140625" style="3" customWidth="1"/>
    <col min="10773" max="11008" width="9" style="3"/>
    <col min="11009" max="11009" width="5.140625" style="3" customWidth="1"/>
    <col min="11010" max="11010" width="20.85546875" style="3" customWidth="1"/>
    <col min="11011" max="11011" width="9" style="3"/>
    <col min="11012" max="11028" width="9.140625" style="3" customWidth="1"/>
    <col min="11029" max="11264" width="9" style="3"/>
    <col min="11265" max="11265" width="5.140625" style="3" customWidth="1"/>
    <col min="11266" max="11266" width="20.85546875" style="3" customWidth="1"/>
    <col min="11267" max="11267" width="9" style="3"/>
    <col min="11268" max="11284" width="9.140625" style="3" customWidth="1"/>
    <col min="11285" max="11520" width="9" style="3"/>
    <col min="11521" max="11521" width="5.140625" style="3" customWidth="1"/>
    <col min="11522" max="11522" width="20.85546875" style="3" customWidth="1"/>
    <col min="11523" max="11523" width="9" style="3"/>
    <col min="11524" max="11540" width="9.140625" style="3" customWidth="1"/>
    <col min="11541" max="11776" width="9" style="3"/>
    <col min="11777" max="11777" width="5.140625" style="3" customWidth="1"/>
    <col min="11778" max="11778" width="20.85546875" style="3" customWidth="1"/>
    <col min="11779" max="11779" width="9" style="3"/>
    <col min="11780" max="11796" width="9.140625" style="3" customWidth="1"/>
    <col min="11797" max="12032" width="9" style="3"/>
    <col min="12033" max="12033" width="5.140625" style="3" customWidth="1"/>
    <col min="12034" max="12034" width="20.85546875" style="3" customWidth="1"/>
    <col min="12035" max="12035" width="9" style="3"/>
    <col min="12036" max="12052" width="9.140625" style="3" customWidth="1"/>
    <col min="12053" max="12288" width="9" style="3"/>
    <col min="12289" max="12289" width="5.140625" style="3" customWidth="1"/>
    <col min="12290" max="12290" width="20.85546875" style="3" customWidth="1"/>
    <col min="12291" max="12291" width="9" style="3"/>
    <col min="12292" max="12308" width="9.140625" style="3" customWidth="1"/>
    <col min="12309" max="12544" width="9" style="3"/>
    <col min="12545" max="12545" width="5.140625" style="3" customWidth="1"/>
    <col min="12546" max="12546" width="20.85546875" style="3" customWidth="1"/>
    <col min="12547" max="12547" width="9" style="3"/>
    <col min="12548" max="12564" width="9.140625" style="3" customWidth="1"/>
    <col min="12565" max="12800" width="9" style="3"/>
    <col min="12801" max="12801" width="5.140625" style="3" customWidth="1"/>
    <col min="12802" max="12802" width="20.85546875" style="3" customWidth="1"/>
    <col min="12803" max="12803" width="9" style="3"/>
    <col min="12804" max="12820" width="9.140625" style="3" customWidth="1"/>
    <col min="12821" max="13056" width="9" style="3"/>
    <col min="13057" max="13057" width="5.140625" style="3" customWidth="1"/>
    <col min="13058" max="13058" width="20.85546875" style="3" customWidth="1"/>
    <col min="13059" max="13059" width="9" style="3"/>
    <col min="13060" max="13076" width="9.140625" style="3" customWidth="1"/>
    <col min="13077" max="13312" width="9" style="3"/>
    <col min="13313" max="13313" width="5.140625" style="3" customWidth="1"/>
    <col min="13314" max="13314" width="20.85546875" style="3" customWidth="1"/>
    <col min="13315" max="13315" width="9" style="3"/>
    <col min="13316" max="13332" width="9.140625" style="3" customWidth="1"/>
    <col min="13333" max="13568" width="9" style="3"/>
    <col min="13569" max="13569" width="5.140625" style="3" customWidth="1"/>
    <col min="13570" max="13570" width="20.85546875" style="3" customWidth="1"/>
    <col min="13571" max="13571" width="9" style="3"/>
    <col min="13572" max="13588" width="9.140625" style="3" customWidth="1"/>
    <col min="13589" max="13824" width="9" style="3"/>
    <col min="13825" max="13825" width="5.140625" style="3" customWidth="1"/>
    <col min="13826" max="13826" width="20.85546875" style="3" customWidth="1"/>
    <col min="13827" max="13827" width="9" style="3"/>
    <col min="13828" max="13844" width="9.140625" style="3" customWidth="1"/>
    <col min="13845" max="14080" width="9" style="3"/>
    <col min="14081" max="14081" width="5.140625" style="3" customWidth="1"/>
    <col min="14082" max="14082" width="20.85546875" style="3" customWidth="1"/>
    <col min="14083" max="14083" width="9" style="3"/>
    <col min="14084" max="14100" width="9.140625" style="3" customWidth="1"/>
    <col min="14101" max="14336" width="9" style="3"/>
    <col min="14337" max="14337" width="5.140625" style="3" customWidth="1"/>
    <col min="14338" max="14338" width="20.85546875" style="3" customWidth="1"/>
    <col min="14339" max="14339" width="9" style="3"/>
    <col min="14340" max="14356" width="9.140625" style="3" customWidth="1"/>
    <col min="14357" max="14592" width="9" style="3"/>
    <col min="14593" max="14593" width="5.140625" style="3" customWidth="1"/>
    <col min="14594" max="14594" width="20.85546875" style="3" customWidth="1"/>
    <col min="14595" max="14595" width="9" style="3"/>
    <col min="14596" max="14612" width="9.140625" style="3" customWidth="1"/>
    <col min="14613" max="14848" width="9" style="3"/>
    <col min="14849" max="14849" width="5.140625" style="3" customWidth="1"/>
    <col min="14850" max="14850" width="20.85546875" style="3" customWidth="1"/>
    <col min="14851" max="14851" width="9" style="3"/>
    <col min="14852" max="14868" width="9.140625" style="3" customWidth="1"/>
    <col min="14869" max="15104" width="9" style="3"/>
    <col min="15105" max="15105" width="5.140625" style="3" customWidth="1"/>
    <col min="15106" max="15106" width="20.85546875" style="3" customWidth="1"/>
    <col min="15107" max="15107" width="9" style="3"/>
    <col min="15108" max="15124" width="9.140625" style="3" customWidth="1"/>
    <col min="15125" max="15360" width="9" style="3"/>
    <col min="15361" max="15361" width="5.140625" style="3" customWidth="1"/>
    <col min="15362" max="15362" width="20.85546875" style="3" customWidth="1"/>
    <col min="15363" max="15363" width="9" style="3"/>
    <col min="15364" max="15380" width="9.140625" style="3" customWidth="1"/>
    <col min="15381" max="15616" width="9" style="3"/>
    <col min="15617" max="15617" width="5.140625" style="3" customWidth="1"/>
    <col min="15618" max="15618" width="20.85546875" style="3" customWidth="1"/>
    <col min="15619" max="15619" width="9" style="3"/>
    <col min="15620" max="15636" width="9.140625" style="3" customWidth="1"/>
    <col min="15637" max="15872" width="9" style="3"/>
    <col min="15873" max="15873" width="5.140625" style="3" customWidth="1"/>
    <col min="15874" max="15874" width="20.85546875" style="3" customWidth="1"/>
    <col min="15875" max="15875" width="9" style="3"/>
    <col min="15876" max="15892" width="9.140625" style="3" customWidth="1"/>
    <col min="15893" max="16128" width="9" style="3"/>
    <col min="16129" max="16129" width="5.140625" style="3" customWidth="1"/>
    <col min="16130" max="16130" width="20.85546875" style="3" customWidth="1"/>
    <col min="16131" max="16131" width="9" style="3"/>
    <col min="16132" max="16148" width="9.140625" style="3" customWidth="1"/>
    <col min="16149" max="16384" width="9" style="3"/>
  </cols>
  <sheetData>
    <row r="1" spans="1:30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81"/>
      <c r="V1" s="81"/>
    </row>
    <row r="2" spans="1:30" ht="159.75" thickBot="1" x14ac:dyDescent="0.3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</row>
    <row r="3" spans="1:30" x14ac:dyDescent="0.25">
      <c r="A3" s="13" t="s">
        <v>21</v>
      </c>
      <c r="B3" s="14" t="s">
        <v>80</v>
      </c>
      <c r="C3" s="15" t="s">
        <v>75</v>
      </c>
      <c r="D3" s="16">
        <f>100-(99.12-99.12)/92.12*50</f>
        <v>100</v>
      </c>
      <c r="E3" s="17">
        <f>100-(176.13-176.13)/176.13*50</f>
        <v>100</v>
      </c>
      <c r="F3" s="17">
        <f>100-(20.2-20.2)/20.2*50</f>
        <v>100</v>
      </c>
      <c r="G3" s="17">
        <f>100-(56.28-56.28)/56.28*50</f>
        <v>100</v>
      </c>
      <c r="H3" s="65"/>
      <c r="I3" s="65"/>
      <c r="J3" s="65"/>
      <c r="K3" s="65"/>
      <c r="L3" s="17"/>
      <c r="M3" s="118"/>
      <c r="N3" s="17"/>
      <c r="O3" s="17"/>
      <c r="P3" s="17"/>
      <c r="Q3" s="17"/>
      <c r="R3" s="17"/>
      <c r="S3" s="123"/>
      <c r="T3" s="22">
        <f>SUM(D3:S3)</f>
        <v>400</v>
      </c>
    </row>
    <row r="4" spans="1:30" ht="15.75" thickBot="1" x14ac:dyDescent="0.3">
      <c r="A4" s="45" t="s">
        <v>24</v>
      </c>
      <c r="B4" s="46" t="s">
        <v>81</v>
      </c>
      <c r="C4" s="47" t="s">
        <v>42</v>
      </c>
      <c r="D4" s="88"/>
      <c r="E4" s="89"/>
      <c r="F4" s="89"/>
      <c r="G4" s="89"/>
      <c r="H4" s="74"/>
      <c r="I4" s="74"/>
      <c r="J4" s="74"/>
      <c r="K4" s="74"/>
      <c r="L4" s="52">
        <f>100-(44.8-44.8)/44.8*50</f>
        <v>100</v>
      </c>
      <c r="M4" s="151" t="s">
        <v>33</v>
      </c>
      <c r="N4" s="135"/>
      <c r="O4" s="135"/>
      <c r="P4" s="135"/>
      <c r="Q4" s="135"/>
      <c r="R4" s="49"/>
      <c r="S4" s="53"/>
      <c r="T4" s="152">
        <f>SUM(D4:S4)</f>
        <v>100</v>
      </c>
    </row>
    <row r="5" spans="1:30" s="76" customFormat="1" x14ac:dyDescent="0.25">
      <c r="A5" s="91"/>
      <c r="B5" s="2"/>
      <c r="C5" s="2"/>
      <c r="D5" s="59"/>
      <c r="E5" s="59"/>
      <c r="F5" s="59"/>
      <c r="G5" s="59"/>
      <c r="H5" s="2"/>
      <c r="I5" s="2"/>
      <c r="J5" s="2"/>
      <c r="K5" s="2"/>
      <c r="L5" s="92"/>
      <c r="M5" s="92"/>
      <c r="N5" s="2"/>
      <c r="O5" s="2"/>
      <c r="P5" s="2"/>
      <c r="Q5" s="2"/>
      <c r="R5" s="92"/>
      <c r="S5" s="92"/>
      <c r="T5" s="58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2" customFormat="1" x14ac:dyDescent="0.25">
      <c r="A6" s="91"/>
      <c r="D6" s="59"/>
      <c r="E6" s="59"/>
      <c r="F6" s="59"/>
      <c r="G6" s="59"/>
      <c r="L6" s="92"/>
      <c r="M6" s="92"/>
      <c r="R6" s="92"/>
      <c r="S6" s="92"/>
      <c r="T6" s="58"/>
    </row>
    <row r="7" spans="1:30" s="2" customFormat="1" x14ac:dyDescent="0.25">
      <c r="D7" s="59"/>
      <c r="E7" s="59"/>
      <c r="F7" s="59"/>
      <c r="G7" s="59"/>
      <c r="T7" s="55"/>
    </row>
    <row r="8" spans="1:30" s="60" customFormat="1" x14ac:dyDescent="0.25">
      <c r="A8" s="60" t="s">
        <v>68</v>
      </c>
    </row>
    <row r="9" spans="1:30" s="61" customFormat="1" x14ac:dyDescent="0.25">
      <c r="A9" s="61" t="s">
        <v>69</v>
      </c>
    </row>
  </sheetData>
  <mergeCells count="1">
    <mergeCell ref="A1:T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workbookViewId="0">
      <selection activeCell="O14" sqref="O14"/>
    </sheetView>
  </sheetViews>
  <sheetFormatPr defaultColWidth="9" defaultRowHeight="15" x14ac:dyDescent="0.25"/>
  <cols>
    <col min="1" max="1" width="5" style="3" customWidth="1"/>
    <col min="2" max="2" width="20.85546875" style="3" customWidth="1"/>
    <col min="3" max="3" width="9" style="3"/>
    <col min="4" max="7" width="9.140625" style="62" customWidth="1"/>
    <col min="8" max="20" width="9.140625" style="3" customWidth="1"/>
    <col min="21" max="32" width="9" style="2"/>
    <col min="33" max="256" width="9" style="3"/>
    <col min="257" max="257" width="5" style="3" customWidth="1"/>
    <col min="258" max="258" width="20.85546875" style="3" customWidth="1"/>
    <col min="259" max="259" width="9" style="3"/>
    <col min="260" max="276" width="9.140625" style="3" customWidth="1"/>
    <col min="277" max="512" width="9" style="3"/>
    <col min="513" max="513" width="5" style="3" customWidth="1"/>
    <col min="514" max="514" width="20.85546875" style="3" customWidth="1"/>
    <col min="515" max="515" width="9" style="3"/>
    <col min="516" max="532" width="9.140625" style="3" customWidth="1"/>
    <col min="533" max="768" width="9" style="3"/>
    <col min="769" max="769" width="5" style="3" customWidth="1"/>
    <col min="770" max="770" width="20.85546875" style="3" customWidth="1"/>
    <col min="771" max="771" width="9" style="3"/>
    <col min="772" max="788" width="9.140625" style="3" customWidth="1"/>
    <col min="789" max="1024" width="9" style="3"/>
    <col min="1025" max="1025" width="5" style="3" customWidth="1"/>
    <col min="1026" max="1026" width="20.85546875" style="3" customWidth="1"/>
    <col min="1027" max="1027" width="9" style="3"/>
    <col min="1028" max="1044" width="9.140625" style="3" customWidth="1"/>
    <col min="1045" max="1280" width="9" style="3"/>
    <col min="1281" max="1281" width="5" style="3" customWidth="1"/>
    <col min="1282" max="1282" width="20.85546875" style="3" customWidth="1"/>
    <col min="1283" max="1283" width="9" style="3"/>
    <col min="1284" max="1300" width="9.140625" style="3" customWidth="1"/>
    <col min="1301" max="1536" width="9" style="3"/>
    <col min="1537" max="1537" width="5" style="3" customWidth="1"/>
    <col min="1538" max="1538" width="20.85546875" style="3" customWidth="1"/>
    <col min="1539" max="1539" width="9" style="3"/>
    <col min="1540" max="1556" width="9.140625" style="3" customWidth="1"/>
    <col min="1557" max="1792" width="9" style="3"/>
    <col min="1793" max="1793" width="5" style="3" customWidth="1"/>
    <col min="1794" max="1794" width="20.85546875" style="3" customWidth="1"/>
    <col min="1795" max="1795" width="9" style="3"/>
    <col min="1796" max="1812" width="9.140625" style="3" customWidth="1"/>
    <col min="1813" max="2048" width="9" style="3"/>
    <col min="2049" max="2049" width="5" style="3" customWidth="1"/>
    <col min="2050" max="2050" width="20.85546875" style="3" customWidth="1"/>
    <col min="2051" max="2051" width="9" style="3"/>
    <col min="2052" max="2068" width="9.140625" style="3" customWidth="1"/>
    <col min="2069" max="2304" width="9" style="3"/>
    <col min="2305" max="2305" width="5" style="3" customWidth="1"/>
    <col min="2306" max="2306" width="20.85546875" style="3" customWidth="1"/>
    <col min="2307" max="2307" width="9" style="3"/>
    <col min="2308" max="2324" width="9.140625" style="3" customWidth="1"/>
    <col min="2325" max="2560" width="9" style="3"/>
    <col min="2561" max="2561" width="5" style="3" customWidth="1"/>
    <col min="2562" max="2562" width="20.85546875" style="3" customWidth="1"/>
    <col min="2563" max="2563" width="9" style="3"/>
    <col min="2564" max="2580" width="9.140625" style="3" customWidth="1"/>
    <col min="2581" max="2816" width="9" style="3"/>
    <col min="2817" max="2817" width="5" style="3" customWidth="1"/>
    <col min="2818" max="2818" width="20.85546875" style="3" customWidth="1"/>
    <col min="2819" max="2819" width="9" style="3"/>
    <col min="2820" max="2836" width="9.140625" style="3" customWidth="1"/>
    <col min="2837" max="3072" width="9" style="3"/>
    <col min="3073" max="3073" width="5" style="3" customWidth="1"/>
    <col min="3074" max="3074" width="20.85546875" style="3" customWidth="1"/>
    <col min="3075" max="3075" width="9" style="3"/>
    <col min="3076" max="3092" width="9.140625" style="3" customWidth="1"/>
    <col min="3093" max="3328" width="9" style="3"/>
    <col min="3329" max="3329" width="5" style="3" customWidth="1"/>
    <col min="3330" max="3330" width="20.85546875" style="3" customWidth="1"/>
    <col min="3331" max="3331" width="9" style="3"/>
    <col min="3332" max="3348" width="9.140625" style="3" customWidth="1"/>
    <col min="3349" max="3584" width="9" style="3"/>
    <col min="3585" max="3585" width="5" style="3" customWidth="1"/>
    <col min="3586" max="3586" width="20.85546875" style="3" customWidth="1"/>
    <col min="3587" max="3587" width="9" style="3"/>
    <col min="3588" max="3604" width="9.140625" style="3" customWidth="1"/>
    <col min="3605" max="3840" width="9" style="3"/>
    <col min="3841" max="3841" width="5" style="3" customWidth="1"/>
    <col min="3842" max="3842" width="20.85546875" style="3" customWidth="1"/>
    <col min="3843" max="3843" width="9" style="3"/>
    <col min="3844" max="3860" width="9.140625" style="3" customWidth="1"/>
    <col min="3861" max="4096" width="9" style="3"/>
    <col min="4097" max="4097" width="5" style="3" customWidth="1"/>
    <col min="4098" max="4098" width="20.85546875" style="3" customWidth="1"/>
    <col min="4099" max="4099" width="9" style="3"/>
    <col min="4100" max="4116" width="9.140625" style="3" customWidth="1"/>
    <col min="4117" max="4352" width="9" style="3"/>
    <col min="4353" max="4353" width="5" style="3" customWidth="1"/>
    <col min="4354" max="4354" width="20.85546875" style="3" customWidth="1"/>
    <col min="4355" max="4355" width="9" style="3"/>
    <col min="4356" max="4372" width="9.140625" style="3" customWidth="1"/>
    <col min="4373" max="4608" width="9" style="3"/>
    <col min="4609" max="4609" width="5" style="3" customWidth="1"/>
    <col min="4610" max="4610" width="20.85546875" style="3" customWidth="1"/>
    <col min="4611" max="4611" width="9" style="3"/>
    <col min="4612" max="4628" width="9.140625" style="3" customWidth="1"/>
    <col min="4629" max="4864" width="9" style="3"/>
    <col min="4865" max="4865" width="5" style="3" customWidth="1"/>
    <col min="4866" max="4866" width="20.85546875" style="3" customWidth="1"/>
    <col min="4867" max="4867" width="9" style="3"/>
    <col min="4868" max="4884" width="9.140625" style="3" customWidth="1"/>
    <col min="4885" max="5120" width="9" style="3"/>
    <col min="5121" max="5121" width="5" style="3" customWidth="1"/>
    <col min="5122" max="5122" width="20.85546875" style="3" customWidth="1"/>
    <col min="5123" max="5123" width="9" style="3"/>
    <col min="5124" max="5140" width="9.140625" style="3" customWidth="1"/>
    <col min="5141" max="5376" width="9" style="3"/>
    <col min="5377" max="5377" width="5" style="3" customWidth="1"/>
    <col min="5378" max="5378" width="20.85546875" style="3" customWidth="1"/>
    <col min="5379" max="5379" width="9" style="3"/>
    <col min="5380" max="5396" width="9.140625" style="3" customWidth="1"/>
    <col min="5397" max="5632" width="9" style="3"/>
    <col min="5633" max="5633" width="5" style="3" customWidth="1"/>
    <col min="5634" max="5634" width="20.85546875" style="3" customWidth="1"/>
    <col min="5635" max="5635" width="9" style="3"/>
    <col min="5636" max="5652" width="9.140625" style="3" customWidth="1"/>
    <col min="5653" max="5888" width="9" style="3"/>
    <col min="5889" max="5889" width="5" style="3" customWidth="1"/>
    <col min="5890" max="5890" width="20.85546875" style="3" customWidth="1"/>
    <col min="5891" max="5891" width="9" style="3"/>
    <col min="5892" max="5908" width="9.140625" style="3" customWidth="1"/>
    <col min="5909" max="6144" width="9" style="3"/>
    <col min="6145" max="6145" width="5" style="3" customWidth="1"/>
    <col min="6146" max="6146" width="20.85546875" style="3" customWidth="1"/>
    <col min="6147" max="6147" width="9" style="3"/>
    <col min="6148" max="6164" width="9.140625" style="3" customWidth="1"/>
    <col min="6165" max="6400" width="9" style="3"/>
    <col min="6401" max="6401" width="5" style="3" customWidth="1"/>
    <col min="6402" max="6402" width="20.85546875" style="3" customWidth="1"/>
    <col min="6403" max="6403" width="9" style="3"/>
    <col min="6404" max="6420" width="9.140625" style="3" customWidth="1"/>
    <col min="6421" max="6656" width="9" style="3"/>
    <col min="6657" max="6657" width="5" style="3" customWidth="1"/>
    <col min="6658" max="6658" width="20.85546875" style="3" customWidth="1"/>
    <col min="6659" max="6659" width="9" style="3"/>
    <col min="6660" max="6676" width="9.140625" style="3" customWidth="1"/>
    <col min="6677" max="6912" width="9" style="3"/>
    <col min="6913" max="6913" width="5" style="3" customWidth="1"/>
    <col min="6914" max="6914" width="20.85546875" style="3" customWidth="1"/>
    <col min="6915" max="6915" width="9" style="3"/>
    <col min="6916" max="6932" width="9.140625" style="3" customWidth="1"/>
    <col min="6933" max="7168" width="9" style="3"/>
    <col min="7169" max="7169" width="5" style="3" customWidth="1"/>
    <col min="7170" max="7170" width="20.85546875" style="3" customWidth="1"/>
    <col min="7171" max="7171" width="9" style="3"/>
    <col min="7172" max="7188" width="9.140625" style="3" customWidth="1"/>
    <col min="7189" max="7424" width="9" style="3"/>
    <col min="7425" max="7425" width="5" style="3" customWidth="1"/>
    <col min="7426" max="7426" width="20.85546875" style="3" customWidth="1"/>
    <col min="7427" max="7427" width="9" style="3"/>
    <col min="7428" max="7444" width="9.140625" style="3" customWidth="1"/>
    <col min="7445" max="7680" width="9" style="3"/>
    <col min="7681" max="7681" width="5" style="3" customWidth="1"/>
    <col min="7682" max="7682" width="20.85546875" style="3" customWidth="1"/>
    <col min="7683" max="7683" width="9" style="3"/>
    <col min="7684" max="7700" width="9.140625" style="3" customWidth="1"/>
    <col min="7701" max="7936" width="9" style="3"/>
    <col min="7937" max="7937" width="5" style="3" customWidth="1"/>
    <col min="7938" max="7938" width="20.85546875" style="3" customWidth="1"/>
    <col min="7939" max="7939" width="9" style="3"/>
    <col min="7940" max="7956" width="9.140625" style="3" customWidth="1"/>
    <col min="7957" max="8192" width="9" style="3"/>
    <col min="8193" max="8193" width="5" style="3" customWidth="1"/>
    <col min="8194" max="8194" width="20.85546875" style="3" customWidth="1"/>
    <col min="8195" max="8195" width="9" style="3"/>
    <col min="8196" max="8212" width="9.140625" style="3" customWidth="1"/>
    <col min="8213" max="8448" width="9" style="3"/>
    <col min="8449" max="8449" width="5" style="3" customWidth="1"/>
    <col min="8450" max="8450" width="20.85546875" style="3" customWidth="1"/>
    <col min="8451" max="8451" width="9" style="3"/>
    <col min="8452" max="8468" width="9.140625" style="3" customWidth="1"/>
    <col min="8469" max="8704" width="9" style="3"/>
    <col min="8705" max="8705" width="5" style="3" customWidth="1"/>
    <col min="8706" max="8706" width="20.85546875" style="3" customWidth="1"/>
    <col min="8707" max="8707" width="9" style="3"/>
    <col min="8708" max="8724" width="9.140625" style="3" customWidth="1"/>
    <col min="8725" max="8960" width="9" style="3"/>
    <col min="8961" max="8961" width="5" style="3" customWidth="1"/>
    <col min="8962" max="8962" width="20.85546875" style="3" customWidth="1"/>
    <col min="8963" max="8963" width="9" style="3"/>
    <col min="8964" max="8980" width="9.140625" style="3" customWidth="1"/>
    <col min="8981" max="9216" width="9" style="3"/>
    <col min="9217" max="9217" width="5" style="3" customWidth="1"/>
    <col min="9218" max="9218" width="20.85546875" style="3" customWidth="1"/>
    <col min="9219" max="9219" width="9" style="3"/>
    <col min="9220" max="9236" width="9.140625" style="3" customWidth="1"/>
    <col min="9237" max="9472" width="9" style="3"/>
    <col min="9473" max="9473" width="5" style="3" customWidth="1"/>
    <col min="9474" max="9474" width="20.85546875" style="3" customWidth="1"/>
    <col min="9475" max="9475" width="9" style="3"/>
    <col min="9476" max="9492" width="9.140625" style="3" customWidth="1"/>
    <col min="9493" max="9728" width="9" style="3"/>
    <col min="9729" max="9729" width="5" style="3" customWidth="1"/>
    <col min="9730" max="9730" width="20.85546875" style="3" customWidth="1"/>
    <col min="9731" max="9731" width="9" style="3"/>
    <col min="9732" max="9748" width="9.140625" style="3" customWidth="1"/>
    <col min="9749" max="9984" width="9" style="3"/>
    <col min="9985" max="9985" width="5" style="3" customWidth="1"/>
    <col min="9986" max="9986" width="20.85546875" style="3" customWidth="1"/>
    <col min="9987" max="9987" width="9" style="3"/>
    <col min="9988" max="10004" width="9.140625" style="3" customWidth="1"/>
    <col min="10005" max="10240" width="9" style="3"/>
    <col min="10241" max="10241" width="5" style="3" customWidth="1"/>
    <col min="10242" max="10242" width="20.85546875" style="3" customWidth="1"/>
    <col min="10243" max="10243" width="9" style="3"/>
    <col min="10244" max="10260" width="9.140625" style="3" customWidth="1"/>
    <col min="10261" max="10496" width="9" style="3"/>
    <col min="10497" max="10497" width="5" style="3" customWidth="1"/>
    <col min="10498" max="10498" width="20.85546875" style="3" customWidth="1"/>
    <col min="10499" max="10499" width="9" style="3"/>
    <col min="10500" max="10516" width="9.140625" style="3" customWidth="1"/>
    <col min="10517" max="10752" width="9" style="3"/>
    <col min="10753" max="10753" width="5" style="3" customWidth="1"/>
    <col min="10754" max="10754" width="20.85546875" style="3" customWidth="1"/>
    <col min="10755" max="10755" width="9" style="3"/>
    <col min="10756" max="10772" width="9.140625" style="3" customWidth="1"/>
    <col min="10773" max="11008" width="9" style="3"/>
    <col min="11009" max="11009" width="5" style="3" customWidth="1"/>
    <col min="11010" max="11010" width="20.85546875" style="3" customWidth="1"/>
    <col min="11011" max="11011" width="9" style="3"/>
    <col min="11012" max="11028" width="9.140625" style="3" customWidth="1"/>
    <col min="11029" max="11264" width="9" style="3"/>
    <col min="11265" max="11265" width="5" style="3" customWidth="1"/>
    <col min="11266" max="11266" width="20.85546875" style="3" customWidth="1"/>
    <col min="11267" max="11267" width="9" style="3"/>
    <col min="11268" max="11284" width="9.140625" style="3" customWidth="1"/>
    <col min="11285" max="11520" width="9" style="3"/>
    <col min="11521" max="11521" width="5" style="3" customWidth="1"/>
    <col min="11522" max="11522" width="20.85546875" style="3" customWidth="1"/>
    <col min="11523" max="11523" width="9" style="3"/>
    <col min="11524" max="11540" width="9.140625" style="3" customWidth="1"/>
    <col min="11541" max="11776" width="9" style="3"/>
    <col min="11777" max="11777" width="5" style="3" customWidth="1"/>
    <col min="11778" max="11778" width="20.85546875" style="3" customWidth="1"/>
    <col min="11779" max="11779" width="9" style="3"/>
    <col min="11780" max="11796" width="9.140625" style="3" customWidth="1"/>
    <col min="11797" max="12032" width="9" style="3"/>
    <col min="12033" max="12033" width="5" style="3" customWidth="1"/>
    <col min="12034" max="12034" width="20.85546875" style="3" customWidth="1"/>
    <col min="12035" max="12035" width="9" style="3"/>
    <col min="12036" max="12052" width="9.140625" style="3" customWidth="1"/>
    <col min="12053" max="12288" width="9" style="3"/>
    <col min="12289" max="12289" width="5" style="3" customWidth="1"/>
    <col min="12290" max="12290" width="20.85546875" style="3" customWidth="1"/>
    <col min="12291" max="12291" width="9" style="3"/>
    <col min="12292" max="12308" width="9.140625" style="3" customWidth="1"/>
    <col min="12309" max="12544" width="9" style="3"/>
    <col min="12545" max="12545" width="5" style="3" customWidth="1"/>
    <col min="12546" max="12546" width="20.85546875" style="3" customWidth="1"/>
    <col min="12547" max="12547" width="9" style="3"/>
    <col min="12548" max="12564" width="9.140625" style="3" customWidth="1"/>
    <col min="12565" max="12800" width="9" style="3"/>
    <col min="12801" max="12801" width="5" style="3" customWidth="1"/>
    <col min="12802" max="12802" width="20.85546875" style="3" customWidth="1"/>
    <col min="12803" max="12803" width="9" style="3"/>
    <col min="12804" max="12820" width="9.140625" style="3" customWidth="1"/>
    <col min="12821" max="13056" width="9" style="3"/>
    <col min="13057" max="13057" width="5" style="3" customWidth="1"/>
    <col min="13058" max="13058" width="20.85546875" style="3" customWidth="1"/>
    <col min="13059" max="13059" width="9" style="3"/>
    <col min="13060" max="13076" width="9.140625" style="3" customWidth="1"/>
    <col min="13077" max="13312" width="9" style="3"/>
    <col min="13313" max="13313" width="5" style="3" customWidth="1"/>
    <col min="13314" max="13314" width="20.85546875" style="3" customWidth="1"/>
    <col min="13315" max="13315" width="9" style="3"/>
    <col min="13316" max="13332" width="9.140625" style="3" customWidth="1"/>
    <col min="13333" max="13568" width="9" style="3"/>
    <col min="13569" max="13569" width="5" style="3" customWidth="1"/>
    <col min="13570" max="13570" width="20.85546875" style="3" customWidth="1"/>
    <col min="13571" max="13571" width="9" style="3"/>
    <col min="13572" max="13588" width="9.140625" style="3" customWidth="1"/>
    <col min="13589" max="13824" width="9" style="3"/>
    <col min="13825" max="13825" width="5" style="3" customWidth="1"/>
    <col min="13826" max="13826" width="20.85546875" style="3" customWidth="1"/>
    <col min="13827" max="13827" width="9" style="3"/>
    <col min="13828" max="13844" width="9.140625" style="3" customWidth="1"/>
    <col min="13845" max="14080" width="9" style="3"/>
    <col min="14081" max="14081" width="5" style="3" customWidth="1"/>
    <col min="14082" max="14082" width="20.85546875" style="3" customWidth="1"/>
    <col min="14083" max="14083" width="9" style="3"/>
    <col min="14084" max="14100" width="9.140625" style="3" customWidth="1"/>
    <col min="14101" max="14336" width="9" style="3"/>
    <col min="14337" max="14337" width="5" style="3" customWidth="1"/>
    <col min="14338" max="14338" width="20.85546875" style="3" customWidth="1"/>
    <col min="14339" max="14339" width="9" style="3"/>
    <col min="14340" max="14356" width="9.140625" style="3" customWidth="1"/>
    <col min="14357" max="14592" width="9" style="3"/>
    <col min="14593" max="14593" width="5" style="3" customWidth="1"/>
    <col min="14594" max="14594" width="20.85546875" style="3" customWidth="1"/>
    <col min="14595" max="14595" width="9" style="3"/>
    <col min="14596" max="14612" width="9.140625" style="3" customWidth="1"/>
    <col min="14613" max="14848" width="9" style="3"/>
    <col min="14849" max="14849" width="5" style="3" customWidth="1"/>
    <col min="14850" max="14850" width="20.85546875" style="3" customWidth="1"/>
    <col min="14851" max="14851" width="9" style="3"/>
    <col min="14852" max="14868" width="9.140625" style="3" customWidth="1"/>
    <col min="14869" max="15104" width="9" style="3"/>
    <col min="15105" max="15105" width="5" style="3" customWidth="1"/>
    <col min="15106" max="15106" width="20.85546875" style="3" customWidth="1"/>
    <col min="15107" max="15107" width="9" style="3"/>
    <col min="15108" max="15124" width="9.140625" style="3" customWidth="1"/>
    <col min="15125" max="15360" width="9" style="3"/>
    <col min="15361" max="15361" width="5" style="3" customWidth="1"/>
    <col min="15362" max="15362" width="20.85546875" style="3" customWidth="1"/>
    <col min="15363" max="15363" width="9" style="3"/>
    <col min="15364" max="15380" width="9.140625" style="3" customWidth="1"/>
    <col min="15381" max="15616" width="9" style="3"/>
    <col min="15617" max="15617" width="5" style="3" customWidth="1"/>
    <col min="15618" max="15618" width="20.85546875" style="3" customWidth="1"/>
    <col min="15619" max="15619" width="9" style="3"/>
    <col min="15620" max="15636" width="9.140625" style="3" customWidth="1"/>
    <col min="15637" max="15872" width="9" style="3"/>
    <col min="15873" max="15873" width="5" style="3" customWidth="1"/>
    <col min="15874" max="15874" width="20.85546875" style="3" customWidth="1"/>
    <col min="15875" max="15875" width="9" style="3"/>
    <col min="15876" max="15892" width="9.140625" style="3" customWidth="1"/>
    <col min="15893" max="16128" width="9" style="3"/>
    <col min="16129" max="16129" width="5" style="3" customWidth="1"/>
    <col min="16130" max="16130" width="20.85546875" style="3" customWidth="1"/>
    <col min="16131" max="16131" width="9" style="3"/>
    <col min="16132" max="16148" width="9.140625" style="3" customWidth="1"/>
    <col min="16149" max="16384" width="9" style="3"/>
  </cols>
  <sheetData>
    <row r="1" spans="1:22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2" ht="159.75" thickBot="1" x14ac:dyDescent="0.3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</row>
    <row r="3" spans="1:22" x14ac:dyDescent="0.25">
      <c r="A3" s="13" t="s">
        <v>21</v>
      </c>
      <c r="B3" s="14" t="s">
        <v>82</v>
      </c>
      <c r="C3" s="15" t="s">
        <v>42</v>
      </c>
      <c r="D3" s="153"/>
      <c r="E3" s="154"/>
      <c r="F3" s="93"/>
      <c r="G3" s="93"/>
      <c r="H3" s="65"/>
      <c r="I3" s="65"/>
      <c r="J3" s="65"/>
      <c r="K3" s="65"/>
      <c r="L3" s="17"/>
      <c r="M3" s="65"/>
      <c r="N3" s="17"/>
      <c r="O3" s="17"/>
      <c r="P3" s="17">
        <f>100-(21.82-21.82)/21.82*50</f>
        <v>100</v>
      </c>
      <c r="Q3" s="17"/>
      <c r="R3" s="65"/>
      <c r="S3" s="123"/>
      <c r="T3" s="22">
        <f>D3+E3+F3+G3+H3+I3+J3+K3+L3+M3+N3+O3+P3+Q3+R3+S3</f>
        <v>100</v>
      </c>
    </row>
    <row r="4" spans="1:22" ht="15.75" thickBot="1" x14ac:dyDescent="0.3">
      <c r="A4" s="45" t="s">
        <v>24</v>
      </c>
      <c r="B4" s="46" t="s">
        <v>83</v>
      </c>
      <c r="C4" s="47" t="s">
        <v>42</v>
      </c>
      <c r="D4" s="88"/>
      <c r="E4" s="89"/>
      <c r="F4" s="49"/>
      <c r="G4" s="49"/>
      <c r="H4" s="74"/>
      <c r="I4" s="74"/>
      <c r="J4" s="74"/>
      <c r="K4" s="74"/>
      <c r="L4" s="49"/>
      <c r="M4" s="49"/>
      <c r="N4" s="52"/>
      <c r="O4" s="135"/>
      <c r="P4" s="52">
        <f>100-(23.8-21.82)/21.82*50</f>
        <v>95.462878093492208</v>
      </c>
      <c r="Q4" s="135"/>
      <c r="R4" s="74"/>
      <c r="S4" s="73"/>
      <c r="T4" s="152">
        <f>D4+E4+F4+G4+H4+I4+J4+K4+L4+M4+N4+O4+P4+Q4+R4+S4</f>
        <v>95.462878093492208</v>
      </c>
    </row>
    <row r="5" spans="1:22" x14ac:dyDescent="0.25">
      <c r="A5" s="96"/>
      <c r="B5" s="2"/>
      <c r="C5" s="2"/>
      <c r="D5" s="59"/>
      <c r="E5" s="59"/>
      <c r="F5" s="59"/>
      <c r="G5" s="5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97"/>
      <c r="T5" s="58"/>
    </row>
    <row r="6" spans="1:22" x14ac:dyDescent="0.25">
      <c r="A6" s="96"/>
      <c r="B6" s="2"/>
      <c r="C6" s="2"/>
      <c r="D6" s="59"/>
      <c r="E6" s="59"/>
      <c r="F6" s="59"/>
      <c r="G6" s="5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97"/>
      <c r="T6" s="58"/>
    </row>
    <row r="7" spans="1:22" x14ac:dyDescent="0.25">
      <c r="A7" s="2"/>
      <c r="B7" s="2"/>
      <c r="C7" s="2"/>
      <c r="D7" s="59"/>
      <c r="E7" s="59"/>
      <c r="F7" s="59"/>
      <c r="G7" s="5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55"/>
    </row>
    <row r="8" spans="1:22" s="60" customFormat="1" x14ac:dyDescent="0.25">
      <c r="A8" s="60" t="s">
        <v>68</v>
      </c>
    </row>
    <row r="9" spans="1:22" s="61" customFormat="1" x14ac:dyDescent="0.25">
      <c r="A9" s="61" t="s">
        <v>69</v>
      </c>
    </row>
  </sheetData>
  <mergeCells count="1">
    <mergeCell ref="A1:T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workbookViewId="0">
      <selection activeCell="T15" sqref="T15"/>
    </sheetView>
  </sheetViews>
  <sheetFormatPr defaultColWidth="9" defaultRowHeight="15" x14ac:dyDescent="0.25"/>
  <cols>
    <col min="1" max="1" width="5.28515625" style="3" customWidth="1"/>
    <col min="2" max="2" width="20.5703125" style="3" customWidth="1"/>
    <col min="3" max="3" width="16.140625" style="3" customWidth="1"/>
    <col min="4" max="5" width="9.140625" style="3" customWidth="1"/>
    <col min="6" max="7" width="9.140625" style="62" customWidth="1"/>
    <col min="8" max="20" width="9.140625" style="3" customWidth="1"/>
    <col min="21" max="29" width="9" style="2"/>
    <col min="30" max="256" width="9" style="3"/>
    <col min="257" max="257" width="5.28515625" style="3" customWidth="1"/>
    <col min="258" max="258" width="20.5703125" style="3" customWidth="1"/>
    <col min="259" max="259" width="16.140625" style="3" customWidth="1"/>
    <col min="260" max="276" width="9.140625" style="3" customWidth="1"/>
    <col min="277" max="512" width="9" style="3"/>
    <col min="513" max="513" width="5.28515625" style="3" customWidth="1"/>
    <col min="514" max="514" width="20.5703125" style="3" customWidth="1"/>
    <col min="515" max="515" width="16.140625" style="3" customWidth="1"/>
    <col min="516" max="532" width="9.140625" style="3" customWidth="1"/>
    <col min="533" max="768" width="9" style="3"/>
    <col min="769" max="769" width="5.28515625" style="3" customWidth="1"/>
    <col min="770" max="770" width="20.5703125" style="3" customWidth="1"/>
    <col min="771" max="771" width="16.140625" style="3" customWidth="1"/>
    <col min="772" max="788" width="9.140625" style="3" customWidth="1"/>
    <col min="789" max="1024" width="9" style="3"/>
    <col min="1025" max="1025" width="5.28515625" style="3" customWidth="1"/>
    <col min="1026" max="1026" width="20.5703125" style="3" customWidth="1"/>
    <col min="1027" max="1027" width="16.140625" style="3" customWidth="1"/>
    <col min="1028" max="1044" width="9.140625" style="3" customWidth="1"/>
    <col min="1045" max="1280" width="9" style="3"/>
    <col min="1281" max="1281" width="5.28515625" style="3" customWidth="1"/>
    <col min="1282" max="1282" width="20.5703125" style="3" customWidth="1"/>
    <col min="1283" max="1283" width="16.140625" style="3" customWidth="1"/>
    <col min="1284" max="1300" width="9.140625" style="3" customWidth="1"/>
    <col min="1301" max="1536" width="9" style="3"/>
    <col min="1537" max="1537" width="5.28515625" style="3" customWidth="1"/>
    <col min="1538" max="1538" width="20.5703125" style="3" customWidth="1"/>
    <col min="1539" max="1539" width="16.140625" style="3" customWidth="1"/>
    <col min="1540" max="1556" width="9.140625" style="3" customWidth="1"/>
    <col min="1557" max="1792" width="9" style="3"/>
    <col min="1793" max="1793" width="5.28515625" style="3" customWidth="1"/>
    <col min="1794" max="1794" width="20.5703125" style="3" customWidth="1"/>
    <col min="1795" max="1795" width="16.140625" style="3" customWidth="1"/>
    <col min="1796" max="1812" width="9.140625" style="3" customWidth="1"/>
    <col min="1813" max="2048" width="9" style="3"/>
    <col min="2049" max="2049" width="5.28515625" style="3" customWidth="1"/>
    <col min="2050" max="2050" width="20.5703125" style="3" customWidth="1"/>
    <col min="2051" max="2051" width="16.140625" style="3" customWidth="1"/>
    <col min="2052" max="2068" width="9.140625" style="3" customWidth="1"/>
    <col min="2069" max="2304" width="9" style="3"/>
    <col min="2305" max="2305" width="5.28515625" style="3" customWidth="1"/>
    <col min="2306" max="2306" width="20.5703125" style="3" customWidth="1"/>
    <col min="2307" max="2307" width="16.140625" style="3" customWidth="1"/>
    <col min="2308" max="2324" width="9.140625" style="3" customWidth="1"/>
    <col min="2325" max="2560" width="9" style="3"/>
    <col min="2561" max="2561" width="5.28515625" style="3" customWidth="1"/>
    <col min="2562" max="2562" width="20.5703125" style="3" customWidth="1"/>
    <col min="2563" max="2563" width="16.140625" style="3" customWidth="1"/>
    <col min="2564" max="2580" width="9.140625" style="3" customWidth="1"/>
    <col min="2581" max="2816" width="9" style="3"/>
    <col min="2817" max="2817" width="5.28515625" style="3" customWidth="1"/>
    <col min="2818" max="2818" width="20.5703125" style="3" customWidth="1"/>
    <col min="2819" max="2819" width="16.140625" style="3" customWidth="1"/>
    <col min="2820" max="2836" width="9.140625" style="3" customWidth="1"/>
    <col min="2837" max="3072" width="9" style="3"/>
    <col min="3073" max="3073" width="5.28515625" style="3" customWidth="1"/>
    <col min="3074" max="3074" width="20.5703125" style="3" customWidth="1"/>
    <col min="3075" max="3075" width="16.140625" style="3" customWidth="1"/>
    <col min="3076" max="3092" width="9.140625" style="3" customWidth="1"/>
    <col min="3093" max="3328" width="9" style="3"/>
    <col min="3329" max="3329" width="5.28515625" style="3" customWidth="1"/>
    <col min="3330" max="3330" width="20.5703125" style="3" customWidth="1"/>
    <col min="3331" max="3331" width="16.140625" style="3" customWidth="1"/>
    <col min="3332" max="3348" width="9.140625" style="3" customWidth="1"/>
    <col min="3349" max="3584" width="9" style="3"/>
    <col min="3585" max="3585" width="5.28515625" style="3" customWidth="1"/>
    <col min="3586" max="3586" width="20.5703125" style="3" customWidth="1"/>
    <col min="3587" max="3587" width="16.140625" style="3" customWidth="1"/>
    <col min="3588" max="3604" width="9.140625" style="3" customWidth="1"/>
    <col min="3605" max="3840" width="9" style="3"/>
    <col min="3841" max="3841" width="5.28515625" style="3" customWidth="1"/>
    <col min="3842" max="3842" width="20.5703125" style="3" customWidth="1"/>
    <col min="3843" max="3843" width="16.140625" style="3" customWidth="1"/>
    <col min="3844" max="3860" width="9.140625" style="3" customWidth="1"/>
    <col min="3861" max="4096" width="9" style="3"/>
    <col min="4097" max="4097" width="5.28515625" style="3" customWidth="1"/>
    <col min="4098" max="4098" width="20.5703125" style="3" customWidth="1"/>
    <col min="4099" max="4099" width="16.140625" style="3" customWidth="1"/>
    <col min="4100" max="4116" width="9.140625" style="3" customWidth="1"/>
    <col min="4117" max="4352" width="9" style="3"/>
    <col min="4353" max="4353" width="5.28515625" style="3" customWidth="1"/>
    <col min="4354" max="4354" width="20.5703125" style="3" customWidth="1"/>
    <col min="4355" max="4355" width="16.140625" style="3" customWidth="1"/>
    <col min="4356" max="4372" width="9.140625" style="3" customWidth="1"/>
    <col min="4373" max="4608" width="9" style="3"/>
    <col min="4609" max="4609" width="5.28515625" style="3" customWidth="1"/>
    <col min="4610" max="4610" width="20.5703125" style="3" customWidth="1"/>
    <col min="4611" max="4611" width="16.140625" style="3" customWidth="1"/>
    <col min="4612" max="4628" width="9.140625" style="3" customWidth="1"/>
    <col min="4629" max="4864" width="9" style="3"/>
    <col min="4865" max="4865" width="5.28515625" style="3" customWidth="1"/>
    <col min="4866" max="4866" width="20.5703125" style="3" customWidth="1"/>
    <col min="4867" max="4867" width="16.140625" style="3" customWidth="1"/>
    <col min="4868" max="4884" width="9.140625" style="3" customWidth="1"/>
    <col min="4885" max="5120" width="9" style="3"/>
    <col min="5121" max="5121" width="5.28515625" style="3" customWidth="1"/>
    <col min="5122" max="5122" width="20.5703125" style="3" customWidth="1"/>
    <col min="5123" max="5123" width="16.140625" style="3" customWidth="1"/>
    <col min="5124" max="5140" width="9.140625" style="3" customWidth="1"/>
    <col min="5141" max="5376" width="9" style="3"/>
    <col min="5377" max="5377" width="5.28515625" style="3" customWidth="1"/>
    <col min="5378" max="5378" width="20.5703125" style="3" customWidth="1"/>
    <col min="5379" max="5379" width="16.140625" style="3" customWidth="1"/>
    <col min="5380" max="5396" width="9.140625" style="3" customWidth="1"/>
    <col min="5397" max="5632" width="9" style="3"/>
    <col min="5633" max="5633" width="5.28515625" style="3" customWidth="1"/>
    <col min="5634" max="5634" width="20.5703125" style="3" customWidth="1"/>
    <col min="5635" max="5635" width="16.140625" style="3" customWidth="1"/>
    <col min="5636" max="5652" width="9.140625" style="3" customWidth="1"/>
    <col min="5653" max="5888" width="9" style="3"/>
    <col min="5889" max="5889" width="5.28515625" style="3" customWidth="1"/>
    <col min="5890" max="5890" width="20.5703125" style="3" customWidth="1"/>
    <col min="5891" max="5891" width="16.140625" style="3" customWidth="1"/>
    <col min="5892" max="5908" width="9.140625" style="3" customWidth="1"/>
    <col min="5909" max="6144" width="9" style="3"/>
    <col min="6145" max="6145" width="5.28515625" style="3" customWidth="1"/>
    <col min="6146" max="6146" width="20.5703125" style="3" customWidth="1"/>
    <col min="6147" max="6147" width="16.140625" style="3" customWidth="1"/>
    <col min="6148" max="6164" width="9.140625" style="3" customWidth="1"/>
    <col min="6165" max="6400" width="9" style="3"/>
    <col min="6401" max="6401" width="5.28515625" style="3" customWidth="1"/>
    <col min="6402" max="6402" width="20.5703125" style="3" customWidth="1"/>
    <col min="6403" max="6403" width="16.140625" style="3" customWidth="1"/>
    <col min="6404" max="6420" width="9.140625" style="3" customWidth="1"/>
    <col min="6421" max="6656" width="9" style="3"/>
    <col min="6657" max="6657" width="5.28515625" style="3" customWidth="1"/>
    <col min="6658" max="6658" width="20.5703125" style="3" customWidth="1"/>
    <col min="6659" max="6659" width="16.140625" style="3" customWidth="1"/>
    <col min="6660" max="6676" width="9.140625" style="3" customWidth="1"/>
    <col min="6677" max="6912" width="9" style="3"/>
    <col min="6913" max="6913" width="5.28515625" style="3" customWidth="1"/>
    <col min="6914" max="6914" width="20.5703125" style="3" customWidth="1"/>
    <col min="6915" max="6915" width="16.140625" style="3" customWidth="1"/>
    <col min="6916" max="6932" width="9.140625" style="3" customWidth="1"/>
    <col min="6933" max="7168" width="9" style="3"/>
    <col min="7169" max="7169" width="5.28515625" style="3" customWidth="1"/>
    <col min="7170" max="7170" width="20.5703125" style="3" customWidth="1"/>
    <col min="7171" max="7171" width="16.140625" style="3" customWidth="1"/>
    <col min="7172" max="7188" width="9.140625" style="3" customWidth="1"/>
    <col min="7189" max="7424" width="9" style="3"/>
    <col min="7425" max="7425" width="5.28515625" style="3" customWidth="1"/>
    <col min="7426" max="7426" width="20.5703125" style="3" customWidth="1"/>
    <col min="7427" max="7427" width="16.140625" style="3" customWidth="1"/>
    <col min="7428" max="7444" width="9.140625" style="3" customWidth="1"/>
    <col min="7445" max="7680" width="9" style="3"/>
    <col min="7681" max="7681" width="5.28515625" style="3" customWidth="1"/>
    <col min="7682" max="7682" width="20.5703125" style="3" customWidth="1"/>
    <col min="7683" max="7683" width="16.140625" style="3" customWidth="1"/>
    <col min="7684" max="7700" width="9.140625" style="3" customWidth="1"/>
    <col min="7701" max="7936" width="9" style="3"/>
    <col min="7937" max="7937" width="5.28515625" style="3" customWidth="1"/>
    <col min="7938" max="7938" width="20.5703125" style="3" customWidth="1"/>
    <col min="7939" max="7939" width="16.140625" style="3" customWidth="1"/>
    <col min="7940" max="7956" width="9.140625" style="3" customWidth="1"/>
    <col min="7957" max="8192" width="9" style="3"/>
    <col min="8193" max="8193" width="5.28515625" style="3" customWidth="1"/>
    <col min="8194" max="8194" width="20.5703125" style="3" customWidth="1"/>
    <col min="8195" max="8195" width="16.140625" style="3" customWidth="1"/>
    <col min="8196" max="8212" width="9.140625" style="3" customWidth="1"/>
    <col min="8213" max="8448" width="9" style="3"/>
    <col min="8449" max="8449" width="5.28515625" style="3" customWidth="1"/>
    <col min="8450" max="8450" width="20.5703125" style="3" customWidth="1"/>
    <col min="8451" max="8451" width="16.140625" style="3" customWidth="1"/>
    <col min="8452" max="8468" width="9.140625" style="3" customWidth="1"/>
    <col min="8469" max="8704" width="9" style="3"/>
    <col min="8705" max="8705" width="5.28515625" style="3" customWidth="1"/>
    <col min="8706" max="8706" width="20.5703125" style="3" customWidth="1"/>
    <col min="8707" max="8707" width="16.140625" style="3" customWidth="1"/>
    <col min="8708" max="8724" width="9.140625" style="3" customWidth="1"/>
    <col min="8725" max="8960" width="9" style="3"/>
    <col min="8961" max="8961" width="5.28515625" style="3" customWidth="1"/>
    <col min="8962" max="8962" width="20.5703125" style="3" customWidth="1"/>
    <col min="8963" max="8963" width="16.140625" style="3" customWidth="1"/>
    <col min="8964" max="8980" width="9.140625" style="3" customWidth="1"/>
    <col min="8981" max="9216" width="9" style="3"/>
    <col min="9217" max="9217" width="5.28515625" style="3" customWidth="1"/>
    <col min="9218" max="9218" width="20.5703125" style="3" customWidth="1"/>
    <col min="9219" max="9219" width="16.140625" style="3" customWidth="1"/>
    <col min="9220" max="9236" width="9.140625" style="3" customWidth="1"/>
    <col min="9237" max="9472" width="9" style="3"/>
    <col min="9473" max="9473" width="5.28515625" style="3" customWidth="1"/>
    <col min="9474" max="9474" width="20.5703125" style="3" customWidth="1"/>
    <col min="9475" max="9475" width="16.140625" style="3" customWidth="1"/>
    <col min="9476" max="9492" width="9.140625" style="3" customWidth="1"/>
    <col min="9493" max="9728" width="9" style="3"/>
    <col min="9729" max="9729" width="5.28515625" style="3" customWidth="1"/>
    <col min="9730" max="9730" width="20.5703125" style="3" customWidth="1"/>
    <col min="9731" max="9731" width="16.140625" style="3" customWidth="1"/>
    <col min="9732" max="9748" width="9.140625" style="3" customWidth="1"/>
    <col min="9749" max="9984" width="9" style="3"/>
    <col min="9985" max="9985" width="5.28515625" style="3" customWidth="1"/>
    <col min="9986" max="9986" width="20.5703125" style="3" customWidth="1"/>
    <col min="9987" max="9987" width="16.140625" style="3" customWidth="1"/>
    <col min="9988" max="10004" width="9.140625" style="3" customWidth="1"/>
    <col min="10005" max="10240" width="9" style="3"/>
    <col min="10241" max="10241" width="5.28515625" style="3" customWidth="1"/>
    <col min="10242" max="10242" width="20.5703125" style="3" customWidth="1"/>
    <col min="10243" max="10243" width="16.140625" style="3" customWidth="1"/>
    <col min="10244" max="10260" width="9.140625" style="3" customWidth="1"/>
    <col min="10261" max="10496" width="9" style="3"/>
    <col min="10497" max="10497" width="5.28515625" style="3" customWidth="1"/>
    <col min="10498" max="10498" width="20.5703125" style="3" customWidth="1"/>
    <col min="10499" max="10499" width="16.140625" style="3" customWidth="1"/>
    <col min="10500" max="10516" width="9.140625" style="3" customWidth="1"/>
    <col min="10517" max="10752" width="9" style="3"/>
    <col min="10753" max="10753" width="5.28515625" style="3" customWidth="1"/>
    <col min="10754" max="10754" width="20.5703125" style="3" customWidth="1"/>
    <col min="10755" max="10755" width="16.140625" style="3" customWidth="1"/>
    <col min="10756" max="10772" width="9.140625" style="3" customWidth="1"/>
    <col min="10773" max="11008" width="9" style="3"/>
    <col min="11009" max="11009" width="5.28515625" style="3" customWidth="1"/>
    <col min="11010" max="11010" width="20.5703125" style="3" customWidth="1"/>
    <col min="11011" max="11011" width="16.140625" style="3" customWidth="1"/>
    <col min="11012" max="11028" width="9.140625" style="3" customWidth="1"/>
    <col min="11029" max="11264" width="9" style="3"/>
    <col min="11265" max="11265" width="5.28515625" style="3" customWidth="1"/>
    <col min="11266" max="11266" width="20.5703125" style="3" customWidth="1"/>
    <col min="11267" max="11267" width="16.140625" style="3" customWidth="1"/>
    <col min="11268" max="11284" width="9.140625" style="3" customWidth="1"/>
    <col min="11285" max="11520" width="9" style="3"/>
    <col min="11521" max="11521" width="5.28515625" style="3" customWidth="1"/>
    <col min="11522" max="11522" width="20.5703125" style="3" customWidth="1"/>
    <col min="11523" max="11523" width="16.140625" style="3" customWidth="1"/>
    <col min="11524" max="11540" width="9.140625" style="3" customWidth="1"/>
    <col min="11541" max="11776" width="9" style="3"/>
    <col min="11777" max="11777" width="5.28515625" style="3" customWidth="1"/>
    <col min="11778" max="11778" width="20.5703125" style="3" customWidth="1"/>
    <col min="11779" max="11779" width="16.140625" style="3" customWidth="1"/>
    <col min="11780" max="11796" width="9.140625" style="3" customWidth="1"/>
    <col min="11797" max="12032" width="9" style="3"/>
    <col min="12033" max="12033" width="5.28515625" style="3" customWidth="1"/>
    <col min="12034" max="12034" width="20.5703125" style="3" customWidth="1"/>
    <col min="12035" max="12035" width="16.140625" style="3" customWidth="1"/>
    <col min="12036" max="12052" width="9.140625" style="3" customWidth="1"/>
    <col min="12053" max="12288" width="9" style="3"/>
    <col min="12289" max="12289" width="5.28515625" style="3" customWidth="1"/>
    <col min="12290" max="12290" width="20.5703125" style="3" customWidth="1"/>
    <col min="12291" max="12291" width="16.140625" style="3" customWidth="1"/>
    <col min="12292" max="12308" width="9.140625" style="3" customWidth="1"/>
    <col min="12309" max="12544" width="9" style="3"/>
    <col min="12545" max="12545" width="5.28515625" style="3" customWidth="1"/>
    <col min="12546" max="12546" width="20.5703125" style="3" customWidth="1"/>
    <col min="12547" max="12547" width="16.140625" style="3" customWidth="1"/>
    <col min="12548" max="12564" width="9.140625" style="3" customWidth="1"/>
    <col min="12565" max="12800" width="9" style="3"/>
    <col min="12801" max="12801" width="5.28515625" style="3" customWidth="1"/>
    <col min="12802" max="12802" width="20.5703125" style="3" customWidth="1"/>
    <col min="12803" max="12803" width="16.140625" style="3" customWidth="1"/>
    <col min="12804" max="12820" width="9.140625" style="3" customWidth="1"/>
    <col min="12821" max="13056" width="9" style="3"/>
    <col min="13057" max="13057" width="5.28515625" style="3" customWidth="1"/>
    <col min="13058" max="13058" width="20.5703125" style="3" customWidth="1"/>
    <col min="13059" max="13059" width="16.140625" style="3" customWidth="1"/>
    <col min="13060" max="13076" width="9.140625" style="3" customWidth="1"/>
    <col min="13077" max="13312" width="9" style="3"/>
    <col min="13313" max="13313" width="5.28515625" style="3" customWidth="1"/>
    <col min="13314" max="13314" width="20.5703125" style="3" customWidth="1"/>
    <col min="13315" max="13315" width="16.140625" style="3" customWidth="1"/>
    <col min="13316" max="13332" width="9.140625" style="3" customWidth="1"/>
    <col min="13333" max="13568" width="9" style="3"/>
    <col min="13569" max="13569" width="5.28515625" style="3" customWidth="1"/>
    <col min="13570" max="13570" width="20.5703125" style="3" customWidth="1"/>
    <col min="13571" max="13571" width="16.140625" style="3" customWidth="1"/>
    <col min="13572" max="13588" width="9.140625" style="3" customWidth="1"/>
    <col min="13589" max="13824" width="9" style="3"/>
    <col min="13825" max="13825" width="5.28515625" style="3" customWidth="1"/>
    <col min="13826" max="13826" width="20.5703125" style="3" customWidth="1"/>
    <col min="13827" max="13827" width="16.140625" style="3" customWidth="1"/>
    <col min="13828" max="13844" width="9.140625" style="3" customWidth="1"/>
    <col min="13845" max="14080" width="9" style="3"/>
    <col min="14081" max="14081" width="5.28515625" style="3" customWidth="1"/>
    <col min="14082" max="14082" width="20.5703125" style="3" customWidth="1"/>
    <col min="14083" max="14083" width="16.140625" style="3" customWidth="1"/>
    <col min="14084" max="14100" width="9.140625" style="3" customWidth="1"/>
    <col min="14101" max="14336" width="9" style="3"/>
    <col min="14337" max="14337" width="5.28515625" style="3" customWidth="1"/>
    <col min="14338" max="14338" width="20.5703125" style="3" customWidth="1"/>
    <col min="14339" max="14339" width="16.140625" style="3" customWidth="1"/>
    <col min="14340" max="14356" width="9.140625" style="3" customWidth="1"/>
    <col min="14357" max="14592" width="9" style="3"/>
    <col min="14593" max="14593" width="5.28515625" style="3" customWidth="1"/>
    <col min="14594" max="14594" width="20.5703125" style="3" customWidth="1"/>
    <col min="14595" max="14595" width="16.140625" style="3" customWidth="1"/>
    <col min="14596" max="14612" width="9.140625" style="3" customWidth="1"/>
    <col min="14613" max="14848" width="9" style="3"/>
    <col min="14849" max="14849" width="5.28515625" style="3" customWidth="1"/>
    <col min="14850" max="14850" width="20.5703125" style="3" customWidth="1"/>
    <col min="14851" max="14851" width="16.140625" style="3" customWidth="1"/>
    <col min="14852" max="14868" width="9.140625" style="3" customWidth="1"/>
    <col min="14869" max="15104" width="9" style="3"/>
    <col min="15105" max="15105" width="5.28515625" style="3" customWidth="1"/>
    <col min="15106" max="15106" width="20.5703125" style="3" customWidth="1"/>
    <col min="15107" max="15107" width="16.140625" style="3" customWidth="1"/>
    <col min="15108" max="15124" width="9.140625" style="3" customWidth="1"/>
    <col min="15125" max="15360" width="9" style="3"/>
    <col min="15361" max="15361" width="5.28515625" style="3" customWidth="1"/>
    <col min="15362" max="15362" width="20.5703125" style="3" customWidth="1"/>
    <col min="15363" max="15363" width="16.140625" style="3" customWidth="1"/>
    <col min="15364" max="15380" width="9.140625" style="3" customWidth="1"/>
    <col min="15381" max="15616" width="9" style="3"/>
    <col min="15617" max="15617" width="5.28515625" style="3" customWidth="1"/>
    <col min="15618" max="15618" width="20.5703125" style="3" customWidth="1"/>
    <col min="15619" max="15619" width="16.140625" style="3" customWidth="1"/>
    <col min="15620" max="15636" width="9.140625" style="3" customWidth="1"/>
    <col min="15637" max="15872" width="9" style="3"/>
    <col min="15873" max="15873" width="5.28515625" style="3" customWidth="1"/>
    <col min="15874" max="15874" width="20.5703125" style="3" customWidth="1"/>
    <col min="15875" max="15875" width="16.140625" style="3" customWidth="1"/>
    <col min="15876" max="15892" width="9.140625" style="3" customWidth="1"/>
    <col min="15893" max="16128" width="9" style="3"/>
    <col min="16129" max="16129" width="5.28515625" style="3" customWidth="1"/>
    <col min="16130" max="16130" width="20.5703125" style="3" customWidth="1"/>
    <col min="16131" max="16131" width="16.1406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2" ht="159.75" thickBot="1" x14ac:dyDescent="0.3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</row>
    <row r="3" spans="1:22" x14ac:dyDescent="0.25">
      <c r="A3" s="98" t="s">
        <v>21</v>
      </c>
      <c r="B3" s="14" t="s">
        <v>77</v>
      </c>
      <c r="C3" s="15" t="s">
        <v>42</v>
      </c>
      <c r="D3" s="93">
        <f>100-(57.2-57.2)/57.2*50</f>
        <v>100</v>
      </c>
      <c r="E3" s="17"/>
      <c r="F3" s="93">
        <f>100-(27.33-27.33)/27.33*50</f>
        <v>100</v>
      </c>
      <c r="G3" s="93">
        <f>100-(50.06-50.06)/50.06*50</f>
        <v>100</v>
      </c>
      <c r="H3" s="93">
        <f>100-(78.4-78.4)/78.4*50</f>
        <v>100</v>
      </c>
      <c r="I3" s="93">
        <f>100-(48.17-48.17)/48.17*50</f>
        <v>100</v>
      </c>
      <c r="J3" s="99"/>
      <c r="K3" s="93"/>
      <c r="L3" s="93">
        <f>100-(23.82-23.82)/23.82*50</f>
        <v>100</v>
      </c>
      <c r="M3" s="93">
        <f>100-(55.5-55.5)/55.5*50</f>
        <v>100</v>
      </c>
      <c r="N3" s="17"/>
      <c r="O3" s="17"/>
      <c r="P3" s="66">
        <f>100-(30.67-30.67)/30.67*50</f>
        <v>100</v>
      </c>
      <c r="Q3" s="66">
        <f>100-(38.52-38.52)/38.52*50</f>
        <v>100</v>
      </c>
      <c r="R3" s="66">
        <f>100-(74.42-74.42)/74.42*50</f>
        <v>100</v>
      </c>
      <c r="S3" s="93"/>
      <c r="T3" s="22">
        <f>SUM(D3:S3)-P3-Q3-R3</f>
        <v>700</v>
      </c>
    </row>
    <row r="4" spans="1:22" x14ac:dyDescent="0.25">
      <c r="A4" s="24" t="s">
        <v>24</v>
      </c>
      <c r="B4" s="25" t="s">
        <v>84</v>
      </c>
      <c r="C4" s="26" t="s">
        <v>42</v>
      </c>
      <c r="D4" s="100"/>
      <c r="E4" s="19"/>
      <c r="F4" s="39"/>
      <c r="G4" s="39"/>
      <c r="H4" s="101"/>
      <c r="I4" s="19"/>
      <c r="J4" s="19"/>
      <c r="K4" s="39"/>
      <c r="L4" s="19"/>
      <c r="M4" s="19"/>
      <c r="N4" s="94"/>
      <c r="O4" s="94"/>
      <c r="P4" s="27">
        <f>100-(41.37-30.67)/30.67*50</f>
        <v>82.556243886534077</v>
      </c>
      <c r="Q4" s="94"/>
      <c r="R4" s="70"/>
      <c r="S4" s="102"/>
      <c r="T4" s="84">
        <f>SUM(D4:S4)</f>
        <v>82.556243886534077</v>
      </c>
    </row>
    <row r="5" spans="1:22" x14ac:dyDescent="0.25">
      <c r="A5" s="24" t="s">
        <v>27</v>
      </c>
      <c r="B5" s="25" t="s">
        <v>85</v>
      </c>
      <c r="C5" s="26" t="s">
        <v>42</v>
      </c>
      <c r="D5" s="41"/>
      <c r="E5" s="23"/>
      <c r="F5" s="44"/>
      <c r="G5" s="44"/>
      <c r="H5" s="23"/>
      <c r="I5" s="23"/>
      <c r="J5" s="23"/>
      <c r="K5" s="23"/>
      <c r="L5" s="23"/>
      <c r="M5" s="23"/>
      <c r="N5" s="19"/>
      <c r="O5" s="23"/>
      <c r="P5" s="27">
        <f>100-(49.6-30.67)/30.67*50</f>
        <v>69.139223997391596</v>
      </c>
      <c r="Q5" s="23"/>
      <c r="R5" s="19"/>
      <c r="S5" s="27"/>
      <c r="T5" s="84">
        <f>SUM(D5:S5)</f>
        <v>69.139223997391596</v>
      </c>
    </row>
    <row r="6" spans="1:22" ht="15.75" thickBot="1" x14ac:dyDescent="0.3">
      <c r="A6" s="45" t="s">
        <v>30</v>
      </c>
      <c r="B6" s="46" t="s">
        <v>86</v>
      </c>
      <c r="C6" s="47" t="s">
        <v>42</v>
      </c>
      <c r="D6" s="72"/>
      <c r="E6" s="74"/>
      <c r="F6" s="89"/>
      <c r="G6" s="89"/>
      <c r="H6" s="74"/>
      <c r="I6" s="74"/>
      <c r="J6" s="74"/>
      <c r="K6" s="74"/>
      <c r="L6" s="74"/>
      <c r="M6" s="49"/>
      <c r="N6" s="74"/>
      <c r="O6" s="74"/>
      <c r="P6" s="52">
        <f>100-(53.28-30.67)/30.67*50</f>
        <v>63.139876100423869</v>
      </c>
      <c r="Q6" s="74"/>
      <c r="R6" s="49"/>
      <c r="S6" s="90"/>
      <c r="T6" s="152">
        <f>SUM(D6:S6)</f>
        <v>63.139876100423869</v>
      </c>
    </row>
    <row r="7" spans="1:22" x14ac:dyDescent="0.25">
      <c r="A7" s="2"/>
      <c r="B7" s="2"/>
      <c r="C7" s="2"/>
      <c r="D7" s="2"/>
      <c r="E7" s="2"/>
      <c r="F7" s="59"/>
      <c r="G7" s="59"/>
      <c r="H7" s="2"/>
      <c r="I7" s="2"/>
      <c r="J7" s="2"/>
      <c r="K7" s="2"/>
      <c r="L7" s="2"/>
      <c r="M7" s="2"/>
      <c r="N7" s="2"/>
      <c r="O7" s="2"/>
      <c r="P7" s="2"/>
      <c r="Q7" s="2"/>
      <c r="R7" s="55"/>
      <c r="S7" s="2"/>
      <c r="T7" s="2"/>
    </row>
    <row r="8" spans="1:22" s="60" customFormat="1" x14ac:dyDescent="0.25">
      <c r="A8" s="60" t="s">
        <v>68</v>
      </c>
    </row>
    <row r="9" spans="1:22" s="61" customFormat="1" x14ac:dyDescent="0.25">
      <c r="A9" s="61" t="s">
        <v>69</v>
      </c>
    </row>
  </sheetData>
  <mergeCells count="1">
    <mergeCell ref="A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>
      <selection activeCell="S20" sqref="S20"/>
    </sheetView>
  </sheetViews>
  <sheetFormatPr defaultColWidth="9" defaultRowHeight="15" x14ac:dyDescent="0.25"/>
  <cols>
    <col min="1" max="1" width="5" style="3" customWidth="1"/>
    <col min="2" max="2" width="20.7109375" style="3" customWidth="1"/>
    <col min="3" max="3" width="17.85546875" style="3" customWidth="1"/>
    <col min="4" max="5" width="9.140625" style="3" customWidth="1"/>
    <col min="6" max="7" width="9.140625" style="62" customWidth="1"/>
    <col min="8" max="20" width="9.140625" style="3" customWidth="1"/>
    <col min="21" max="29" width="9" style="2"/>
    <col min="30" max="256" width="9" style="3"/>
    <col min="257" max="257" width="5" style="3" customWidth="1"/>
    <col min="258" max="258" width="17.5703125" style="3" customWidth="1"/>
    <col min="259" max="259" width="17.85546875" style="3" customWidth="1"/>
    <col min="260" max="276" width="9.140625" style="3" customWidth="1"/>
    <col min="277" max="512" width="9" style="3"/>
    <col min="513" max="513" width="5" style="3" customWidth="1"/>
    <col min="514" max="514" width="17.5703125" style="3" customWidth="1"/>
    <col min="515" max="515" width="17.85546875" style="3" customWidth="1"/>
    <col min="516" max="532" width="9.140625" style="3" customWidth="1"/>
    <col min="533" max="768" width="9" style="3"/>
    <col min="769" max="769" width="5" style="3" customWidth="1"/>
    <col min="770" max="770" width="17.5703125" style="3" customWidth="1"/>
    <col min="771" max="771" width="17.85546875" style="3" customWidth="1"/>
    <col min="772" max="788" width="9.140625" style="3" customWidth="1"/>
    <col min="789" max="1024" width="9" style="3"/>
    <col min="1025" max="1025" width="5" style="3" customWidth="1"/>
    <col min="1026" max="1026" width="17.5703125" style="3" customWidth="1"/>
    <col min="1027" max="1027" width="17.85546875" style="3" customWidth="1"/>
    <col min="1028" max="1044" width="9.140625" style="3" customWidth="1"/>
    <col min="1045" max="1280" width="9" style="3"/>
    <col min="1281" max="1281" width="5" style="3" customWidth="1"/>
    <col min="1282" max="1282" width="17.5703125" style="3" customWidth="1"/>
    <col min="1283" max="1283" width="17.85546875" style="3" customWidth="1"/>
    <col min="1284" max="1300" width="9.140625" style="3" customWidth="1"/>
    <col min="1301" max="1536" width="9" style="3"/>
    <col min="1537" max="1537" width="5" style="3" customWidth="1"/>
    <col min="1538" max="1538" width="17.5703125" style="3" customWidth="1"/>
    <col min="1539" max="1539" width="17.85546875" style="3" customWidth="1"/>
    <col min="1540" max="1556" width="9.140625" style="3" customWidth="1"/>
    <col min="1557" max="1792" width="9" style="3"/>
    <col min="1793" max="1793" width="5" style="3" customWidth="1"/>
    <col min="1794" max="1794" width="17.5703125" style="3" customWidth="1"/>
    <col min="1795" max="1795" width="17.85546875" style="3" customWidth="1"/>
    <col min="1796" max="1812" width="9.140625" style="3" customWidth="1"/>
    <col min="1813" max="2048" width="9" style="3"/>
    <col min="2049" max="2049" width="5" style="3" customWidth="1"/>
    <col min="2050" max="2050" width="17.5703125" style="3" customWidth="1"/>
    <col min="2051" max="2051" width="17.85546875" style="3" customWidth="1"/>
    <col min="2052" max="2068" width="9.140625" style="3" customWidth="1"/>
    <col min="2069" max="2304" width="9" style="3"/>
    <col min="2305" max="2305" width="5" style="3" customWidth="1"/>
    <col min="2306" max="2306" width="17.5703125" style="3" customWidth="1"/>
    <col min="2307" max="2307" width="17.85546875" style="3" customWidth="1"/>
    <col min="2308" max="2324" width="9.140625" style="3" customWidth="1"/>
    <col min="2325" max="2560" width="9" style="3"/>
    <col min="2561" max="2561" width="5" style="3" customWidth="1"/>
    <col min="2562" max="2562" width="17.5703125" style="3" customWidth="1"/>
    <col min="2563" max="2563" width="17.85546875" style="3" customWidth="1"/>
    <col min="2564" max="2580" width="9.140625" style="3" customWidth="1"/>
    <col min="2581" max="2816" width="9" style="3"/>
    <col min="2817" max="2817" width="5" style="3" customWidth="1"/>
    <col min="2818" max="2818" width="17.5703125" style="3" customWidth="1"/>
    <col min="2819" max="2819" width="17.85546875" style="3" customWidth="1"/>
    <col min="2820" max="2836" width="9.140625" style="3" customWidth="1"/>
    <col min="2837" max="3072" width="9" style="3"/>
    <col min="3073" max="3073" width="5" style="3" customWidth="1"/>
    <col min="3074" max="3074" width="17.5703125" style="3" customWidth="1"/>
    <col min="3075" max="3075" width="17.85546875" style="3" customWidth="1"/>
    <col min="3076" max="3092" width="9.140625" style="3" customWidth="1"/>
    <col min="3093" max="3328" width="9" style="3"/>
    <col min="3329" max="3329" width="5" style="3" customWidth="1"/>
    <col min="3330" max="3330" width="17.5703125" style="3" customWidth="1"/>
    <col min="3331" max="3331" width="17.85546875" style="3" customWidth="1"/>
    <col min="3332" max="3348" width="9.140625" style="3" customWidth="1"/>
    <col min="3349" max="3584" width="9" style="3"/>
    <col min="3585" max="3585" width="5" style="3" customWidth="1"/>
    <col min="3586" max="3586" width="17.5703125" style="3" customWidth="1"/>
    <col min="3587" max="3587" width="17.85546875" style="3" customWidth="1"/>
    <col min="3588" max="3604" width="9.140625" style="3" customWidth="1"/>
    <col min="3605" max="3840" width="9" style="3"/>
    <col min="3841" max="3841" width="5" style="3" customWidth="1"/>
    <col min="3842" max="3842" width="17.5703125" style="3" customWidth="1"/>
    <col min="3843" max="3843" width="17.85546875" style="3" customWidth="1"/>
    <col min="3844" max="3860" width="9.140625" style="3" customWidth="1"/>
    <col min="3861" max="4096" width="9" style="3"/>
    <col min="4097" max="4097" width="5" style="3" customWidth="1"/>
    <col min="4098" max="4098" width="17.5703125" style="3" customWidth="1"/>
    <col min="4099" max="4099" width="17.85546875" style="3" customWidth="1"/>
    <col min="4100" max="4116" width="9.140625" style="3" customWidth="1"/>
    <col min="4117" max="4352" width="9" style="3"/>
    <col min="4353" max="4353" width="5" style="3" customWidth="1"/>
    <col min="4354" max="4354" width="17.5703125" style="3" customWidth="1"/>
    <col min="4355" max="4355" width="17.85546875" style="3" customWidth="1"/>
    <col min="4356" max="4372" width="9.140625" style="3" customWidth="1"/>
    <col min="4373" max="4608" width="9" style="3"/>
    <col min="4609" max="4609" width="5" style="3" customWidth="1"/>
    <col min="4610" max="4610" width="17.5703125" style="3" customWidth="1"/>
    <col min="4611" max="4611" width="17.85546875" style="3" customWidth="1"/>
    <col min="4612" max="4628" width="9.140625" style="3" customWidth="1"/>
    <col min="4629" max="4864" width="9" style="3"/>
    <col min="4865" max="4865" width="5" style="3" customWidth="1"/>
    <col min="4866" max="4866" width="17.5703125" style="3" customWidth="1"/>
    <col min="4867" max="4867" width="17.85546875" style="3" customWidth="1"/>
    <col min="4868" max="4884" width="9.140625" style="3" customWidth="1"/>
    <col min="4885" max="5120" width="9" style="3"/>
    <col min="5121" max="5121" width="5" style="3" customWidth="1"/>
    <col min="5122" max="5122" width="17.5703125" style="3" customWidth="1"/>
    <col min="5123" max="5123" width="17.85546875" style="3" customWidth="1"/>
    <col min="5124" max="5140" width="9.140625" style="3" customWidth="1"/>
    <col min="5141" max="5376" width="9" style="3"/>
    <col min="5377" max="5377" width="5" style="3" customWidth="1"/>
    <col min="5378" max="5378" width="17.5703125" style="3" customWidth="1"/>
    <col min="5379" max="5379" width="17.85546875" style="3" customWidth="1"/>
    <col min="5380" max="5396" width="9.140625" style="3" customWidth="1"/>
    <col min="5397" max="5632" width="9" style="3"/>
    <col min="5633" max="5633" width="5" style="3" customWidth="1"/>
    <col min="5634" max="5634" width="17.5703125" style="3" customWidth="1"/>
    <col min="5635" max="5635" width="17.85546875" style="3" customWidth="1"/>
    <col min="5636" max="5652" width="9.140625" style="3" customWidth="1"/>
    <col min="5653" max="5888" width="9" style="3"/>
    <col min="5889" max="5889" width="5" style="3" customWidth="1"/>
    <col min="5890" max="5890" width="17.5703125" style="3" customWidth="1"/>
    <col min="5891" max="5891" width="17.85546875" style="3" customWidth="1"/>
    <col min="5892" max="5908" width="9.140625" style="3" customWidth="1"/>
    <col min="5909" max="6144" width="9" style="3"/>
    <col min="6145" max="6145" width="5" style="3" customWidth="1"/>
    <col min="6146" max="6146" width="17.5703125" style="3" customWidth="1"/>
    <col min="6147" max="6147" width="17.85546875" style="3" customWidth="1"/>
    <col min="6148" max="6164" width="9.140625" style="3" customWidth="1"/>
    <col min="6165" max="6400" width="9" style="3"/>
    <col min="6401" max="6401" width="5" style="3" customWidth="1"/>
    <col min="6402" max="6402" width="17.5703125" style="3" customWidth="1"/>
    <col min="6403" max="6403" width="17.85546875" style="3" customWidth="1"/>
    <col min="6404" max="6420" width="9.140625" style="3" customWidth="1"/>
    <col min="6421" max="6656" width="9" style="3"/>
    <col min="6657" max="6657" width="5" style="3" customWidth="1"/>
    <col min="6658" max="6658" width="17.5703125" style="3" customWidth="1"/>
    <col min="6659" max="6659" width="17.85546875" style="3" customWidth="1"/>
    <col min="6660" max="6676" width="9.140625" style="3" customWidth="1"/>
    <col min="6677" max="6912" width="9" style="3"/>
    <col min="6913" max="6913" width="5" style="3" customWidth="1"/>
    <col min="6914" max="6914" width="17.5703125" style="3" customWidth="1"/>
    <col min="6915" max="6915" width="17.85546875" style="3" customWidth="1"/>
    <col min="6916" max="6932" width="9.140625" style="3" customWidth="1"/>
    <col min="6933" max="7168" width="9" style="3"/>
    <col min="7169" max="7169" width="5" style="3" customWidth="1"/>
    <col min="7170" max="7170" width="17.5703125" style="3" customWidth="1"/>
    <col min="7171" max="7171" width="17.85546875" style="3" customWidth="1"/>
    <col min="7172" max="7188" width="9.140625" style="3" customWidth="1"/>
    <col min="7189" max="7424" width="9" style="3"/>
    <col min="7425" max="7425" width="5" style="3" customWidth="1"/>
    <col min="7426" max="7426" width="17.5703125" style="3" customWidth="1"/>
    <col min="7427" max="7427" width="17.85546875" style="3" customWidth="1"/>
    <col min="7428" max="7444" width="9.140625" style="3" customWidth="1"/>
    <col min="7445" max="7680" width="9" style="3"/>
    <col min="7681" max="7681" width="5" style="3" customWidth="1"/>
    <col min="7682" max="7682" width="17.5703125" style="3" customWidth="1"/>
    <col min="7683" max="7683" width="17.85546875" style="3" customWidth="1"/>
    <col min="7684" max="7700" width="9.140625" style="3" customWidth="1"/>
    <col min="7701" max="7936" width="9" style="3"/>
    <col min="7937" max="7937" width="5" style="3" customWidth="1"/>
    <col min="7938" max="7938" width="17.5703125" style="3" customWidth="1"/>
    <col min="7939" max="7939" width="17.85546875" style="3" customWidth="1"/>
    <col min="7940" max="7956" width="9.140625" style="3" customWidth="1"/>
    <col min="7957" max="8192" width="9" style="3"/>
    <col min="8193" max="8193" width="5" style="3" customWidth="1"/>
    <col min="8194" max="8194" width="17.5703125" style="3" customWidth="1"/>
    <col min="8195" max="8195" width="17.85546875" style="3" customWidth="1"/>
    <col min="8196" max="8212" width="9.140625" style="3" customWidth="1"/>
    <col min="8213" max="8448" width="9" style="3"/>
    <col min="8449" max="8449" width="5" style="3" customWidth="1"/>
    <col min="8450" max="8450" width="17.5703125" style="3" customWidth="1"/>
    <col min="8451" max="8451" width="17.85546875" style="3" customWidth="1"/>
    <col min="8452" max="8468" width="9.140625" style="3" customWidth="1"/>
    <col min="8469" max="8704" width="9" style="3"/>
    <col min="8705" max="8705" width="5" style="3" customWidth="1"/>
    <col min="8706" max="8706" width="17.5703125" style="3" customWidth="1"/>
    <col min="8707" max="8707" width="17.85546875" style="3" customWidth="1"/>
    <col min="8708" max="8724" width="9.140625" style="3" customWidth="1"/>
    <col min="8725" max="8960" width="9" style="3"/>
    <col min="8961" max="8961" width="5" style="3" customWidth="1"/>
    <col min="8962" max="8962" width="17.5703125" style="3" customWidth="1"/>
    <col min="8963" max="8963" width="17.85546875" style="3" customWidth="1"/>
    <col min="8964" max="8980" width="9.140625" style="3" customWidth="1"/>
    <col min="8981" max="9216" width="9" style="3"/>
    <col min="9217" max="9217" width="5" style="3" customWidth="1"/>
    <col min="9218" max="9218" width="17.5703125" style="3" customWidth="1"/>
    <col min="9219" max="9219" width="17.85546875" style="3" customWidth="1"/>
    <col min="9220" max="9236" width="9.140625" style="3" customWidth="1"/>
    <col min="9237" max="9472" width="9" style="3"/>
    <col min="9473" max="9473" width="5" style="3" customWidth="1"/>
    <col min="9474" max="9474" width="17.5703125" style="3" customWidth="1"/>
    <col min="9475" max="9475" width="17.85546875" style="3" customWidth="1"/>
    <col min="9476" max="9492" width="9.140625" style="3" customWidth="1"/>
    <col min="9493" max="9728" width="9" style="3"/>
    <col min="9729" max="9729" width="5" style="3" customWidth="1"/>
    <col min="9730" max="9730" width="17.5703125" style="3" customWidth="1"/>
    <col min="9731" max="9731" width="17.85546875" style="3" customWidth="1"/>
    <col min="9732" max="9748" width="9.140625" style="3" customWidth="1"/>
    <col min="9749" max="9984" width="9" style="3"/>
    <col min="9985" max="9985" width="5" style="3" customWidth="1"/>
    <col min="9986" max="9986" width="17.5703125" style="3" customWidth="1"/>
    <col min="9987" max="9987" width="17.85546875" style="3" customWidth="1"/>
    <col min="9988" max="10004" width="9.140625" style="3" customWidth="1"/>
    <col min="10005" max="10240" width="9" style="3"/>
    <col min="10241" max="10241" width="5" style="3" customWidth="1"/>
    <col min="10242" max="10242" width="17.5703125" style="3" customWidth="1"/>
    <col min="10243" max="10243" width="17.85546875" style="3" customWidth="1"/>
    <col min="10244" max="10260" width="9.140625" style="3" customWidth="1"/>
    <col min="10261" max="10496" width="9" style="3"/>
    <col min="10497" max="10497" width="5" style="3" customWidth="1"/>
    <col min="10498" max="10498" width="17.5703125" style="3" customWidth="1"/>
    <col min="10499" max="10499" width="17.85546875" style="3" customWidth="1"/>
    <col min="10500" max="10516" width="9.140625" style="3" customWidth="1"/>
    <col min="10517" max="10752" width="9" style="3"/>
    <col min="10753" max="10753" width="5" style="3" customWidth="1"/>
    <col min="10754" max="10754" width="17.5703125" style="3" customWidth="1"/>
    <col min="10755" max="10755" width="17.85546875" style="3" customWidth="1"/>
    <col min="10756" max="10772" width="9.140625" style="3" customWidth="1"/>
    <col min="10773" max="11008" width="9" style="3"/>
    <col min="11009" max="11009" width="5" style="3" customWidth="1"/>
    <col min="11010" max="11010" width="17.5703125" style="3" customWidth="1"/>
    <col min="11011" max="11011" width="17.85546875" style="3" customWidth="1"/>
    <col min="11012" max="11028" width="9.140625" style="3" customWidth="1"/>
    <col min="11029" max="11264" width="9" style="3"/>
    <col min="11265" max="11265" width="5" style="3" customWidth="1"/>
    <col min="11266" max="11266" width="17.5703125" style="3" customWidth="1"/>
    <col min="11267" max="11267" width="17.85546875" style="3" customWidth="1"/>
    <col min="11268" max="11284" width="9.140625" style="3" customWidth="1"/>
    <col min="11285" max="11520" width="9" style="3"/>
    <col min="11521" max="11521" width="5" style="3" customWidth="1"/>
    <col min="11522" max="11522" width="17.5703125" style="3" customWidth="1"/>
    <col min="11523" max="11523" width="17.85546875" style="3" customWidth="1"/>
    <col min="11524" max="11540" width="9.140625" style="3" customWidth="1"/>
    <col min="11541" max="11776" width="9" style="3"/>
    <col min="11777" max="11777" width="5" style="3" customWidth="1"/>
    <col min="11778" max="11778" width="17.5703125" style="3" customWidth="1"/>
    <col min="11779" max="11779" width="17.85546875" style="3" customWidth="1"/>
    <col min="11780" max="11796" width="9.140625" style="3" customWidth="1"/>
    <col min="11797" max="12032" width="9" style="3"/>
    <col min="12033" max="12033" width="5" style="3" customWidth="1"/>
    <col min="12034" max="12034" width="17.5703125" style="3" customWidth="1"/>
    <col min="12035" max="12035" width="17.85546875" style="3" customWidth="1"/>
    <col min="12036" max="12052" width="9.140625" style="3" customWidth="1"/>
    <col min="12053" max="12288" width="9" style="3"/>
    <col min="12289" max="12289" width="5" style="3" customWidth="1"/>
    <col min="12290" max="12290" width="17.5703125" style="3" customWidth="1"/>
    <col min="12291" max="12291" width="17.85546875" style="3" customWidth="1"/>
    <col min="12292" max="12308" width="9.140625" style="3" customWidth="1"/>
    <col min="12309" max="12544" width="9" style="3"/>
    <col min="12545" max="12545" width="5" style="3" customWidth="1"/>
    <col min="12546" max="12546" width="17.5703125" style="3" customWidth="1"/>
    <col min="12547" max="12547" width="17.85546875" style="3" customWidth="1"/>
    <col min="12548" max="12564" width="9.140625" style="3" customWidth="1"/>
    <col min="12565" max="12800" width="9" style="3"/>
    <col min="12801" max="12801" width="5" style="3" customWidth="1"/>
    <col min="12802" max="12802" width="17.5703125" style="3" customWidth="1"/>
    <col min="12803" max="12803" width="17.85546875" style="3" customWidth="1"/>
    <col min="12804" max="12820" width="9.140625" style="3" customWidth="1"/>
    <col min="12821" max="13056" width="9" style="3"/>
    <col min="13057" max="13057" width="5" style="3" customWidth="1"/>
    <col min="13058" max="13058" width="17.5703125" style="3" customWidth="1"/>
    <col min="13059" max="13059" width="17.85546875" style="3" customWidth="1"/>
    <col min="13060" max="13076" width="9.140625" style="3" customWidth="1"/>
    <col min="13077" max="13312" width="9" style="3"/>
    <col min="13313" max="13313" width="5" style="3" customWidth="1"/>
    <col min="13314" max="13314" width="17.5703125" style="3" customWidth="1"/>
    <col min="13315" max="13315" width="17.85546875" style="3" customWidth="1"/>
    <col min="13316" max="13332" width="9.140625" style="3" customWidth="1"/>
    <col min="13333" max="13568" width="9" style="3"/>
    <col min="13569" max="13569" width="5" style="3" customWidth="1"/>
    <col min="13570" max="13570" width="17.5703125" style="3" customWidth="1"/>
    <col min="13571" max="13571" width="17.85546875" style="3" customWidth="1"/>
    <col min="13572" max="13588" width="9.140625" style="3" customWidth="1"/>
    <col min="13589" max="13824" width="9" style="3"/>
    <col min="13825" max="13825" width="5" style="3" customWidth="1"/>
    <col min="13826" max="13826" width="17.5703125" style="3" customWidth="1"/>
    <col min="13827" max="13827" width="17.85546875" style="3" customWidth="1"/>
    <col min="13828" max="13844" width="9.140625" style="3" customWidth="1"/>
    <col min="13845" max="14080" width="9" style="3"/>
    <col min="14081" max="14081" width="5" style="3" customWidth="1"/>
    <col min="14082" max="14082" width="17.5703125" style="3" customWidth="1"/>
    <col min="14083" max="14083" width="17.85546875" style="3" customWidth="1"/>
    <col min="14084" max="14100" width="9.140625" style="3" customWidth="1"/>
    <col min="14101" max="14336" width="9" style="3"/>
    <col min="14337" max="14337" width="5" style="3" customWidth="1"/>
    <col min="14338" max="14338" width="17.5703125" style="3" customWidth="1"/>
    <col min="14339" max="14339" width="17.85546875" style="3" customWidth="1"/>
    <col min="14340" max="14356" width="9.140625" style="3" customWidth="1"/>
    <col min="14357" max="14592" width="9" style="3"/>
    <col min="14593" max="14593" width="5" style="3" customWidth="1"/>
    <col min="14594" max="14594" width="17.5703125" style="3" customWidth="1"/>
    <col min="14595" max="14595" width="17.85546875" style="3" customWidth="1"/>
    <col min="14596" max="14612" width="9.140625" style="3" customWidth="1"/>
    <col min="14613" max="14848" width="9" style="3"/>
    <col min="14849" max="14849" width="5" style="3" customWidth="1"/>
    <col min="14850" max="14850" width="17.5703125" style="3" customWidth="1"/>
    <col min="14851" max="14851" width="17.85546875" style="3" customWidth="1"/>
    <col min="14852" max="14868" width="9.140625" style="3" customWidth="1"/>
    <col min="14869" max="15104" width="9" style="3"/>
    <col min="15105" max="15105" width="5" style="3" customWidth="1"/>
    <col min="15106" max="15106" width="17.5703125" style="3" customWidth="1"/>
    <col min="15107" max="15107" width="17.85546875" style="3" customWidth="1"/>
    <col min="15108" max="15124" width="9.140625" style="3" customWidth="1"/>
    <col min="15125" max="15360" width="9" style="3"/>
    <col min="15361" max="15361" width="5" style="3" customWidth="1"/>
    <col min="15362" max="15362" width="17.5703125" style="3" customWidth="1"/>
    <col min="15363" max="15363" width="17.85546875" style="3" customWidth="1"/>
    <col min="15364" max="15380" width="9.140625" style="3" customWidth="1"/>
    <col min="15381" max="15616" width="9" style="3"/>
    <col min="15617" max="15617" width="5" style="3" customWidth="1"/>
    <col min="15618" max="15618" width="17.5703125" style="3" customWidth="1"/>
    <col min="15619" max="15619" width="17.85546875" style="3" customWidth="1"/>
    <col min="15620" max="15636" width="9.140625" style="3" customWidth="1"/>
    <col min="15637" max="15872" width="9" style="3"/>
    <col min="15873" max="15873" width="5" style="3" customWidth="1"/>
    <col min="15874" max="15874" width="17.5703125" style="3" customWidth="1"/>
    <col min="15875" max="15875" width="17.85546875" style="3" customWidth="1"/>
    <col min="15876" max="15892" width="9.140625" style="3" customWidth="1"/>
    <col min="15893" max="16128" width="9" style="3"/>
    <col min="16129" max="16129" width="5" style="3" customWidth="1"/>
    <col min="16130" max="16130" width="17.5703125" style="3" customWidth="1"/>
    <col min="16131" max="16131" width="17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2" ht="159.75" thickBot="1" x14ac:dyDescent="0.3">
      <c r="A2" s="10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</row>
    <row r="3" spans="1:22" x14ac:dyDescent="0.25">
      <c r="A3" s="98" t="s">
        <v>21</v>
      </c>
      <c r="B3" s="14" t="s">
        <v>87</v>
      </c>
      <c r="C3" s="15" t="s">
        <v>39</v>
      </c>
      <c r="D3" s="17">
        <f>100-(67.92-67.92)/67.92*50</f>
        <v>100</v>
      </c>
      <c r="E3" s="17">
        <f>100-(96.73-96.73)/96.73*50</f>
        <v>100</v>
      </c>
      <c r="F3" s="17">
        <f>100-(42.52-42.52)/42.52*50</f>
        <v>100</v>
      </c>
      <c r="G3" s="17">
        <f>100-(54.75-54.75)/54.75*50</f>
        <v>100</v>
      </c>
      <c r="H3" s="17">
        <f>100-(80.68-80.68)/80.68*50</f>
        <v>100</v>
      </c>
      <c r="I3" s="17">
        <f>100-(56.03-56.03)/56.03*50</f>
        <v>100</v>
      </c>
      <c r="J3" s="17">
        <f>100-(120.4-120.4)/120.4*50</f>
        <v>100</v>
      </c>
      <c r="K3" s="66">
        <f>100-(90.27-90.27)/90.27*50</f>
        <v>100</v>
      </c>
      <c r="L3" s="66">
        <f>100-(31.55-31.55)/31.55*50</f>
        <v>100</v>
      </c>
      <c r="M3" s="66">
        <f>100-(103.37-103.37)/103.37*50</f>
        <v>100</v>
      </c>
      <c r="N3" s="66">
        <f>100-(37.5-37.5)/37.5*50</f>
        <v>100</v>
      </c>
      <c r="O3" s="66">
        <f>100-(84.45-84.45)/84.45*50</f>
        <v>100</v>
      </c>
      <c r="P3" s="17"/>
      <c r="Q3" s="66">
        <f>100-(65.35-65.35)/65.35*50</f>
        <v>100</v>
      </c>
      <c r="R3" s="17"/>
      <c r="S3" s="17"/>
      <c r="T3" s="22">
        <f>SUM(D3:S3)-K3-L3-M3-N3-O3-Q3</f>
        <v>700</v>
      </c>
    </row>
    <row r="4" spans="1:22" x14ac:dyDescent="0.25">
      <c r="A4" s="105" t="s">
        <v>24</v>
      </c>
      <c r="B4" s="25" t="s">
        <v>88</v>
      </c>
      <c r="C4" s="26" t="s">
        <v>59</v>
      </c>
      <c r="D4" s="41"/>
      <c r="E4" s="23"/>
      <c r="F4" s="44"/>
      <c r="G4" s="19">
        <f>100-(64.72-54.75)/54.75*50</f>
        <v>90.894977168949765</v>
      </c>
      <c r="H4" s="19">
        <f>100-(84.1-80.68)/80.68*50</f>
        <v>97.880515617253351</v>
      </c>
      <c r="I4" s="42">
        <f>100-(57.56-56.03)/56.03*50</f>
        <v>98.634660003569522</v>
      </c>
      <c r="J4" s="23"/>
      <c r="K4" s="23"/>
      <c r="L4" s="19"/>
      <c r="M4" s="23"/>
      <c r="N4" s="23"/>
      <c r="O4" s="23"/>
      <c r="P4" s="23"/>
      <c r="Q4" s="23"/>
      <c r="R4" s="23"/>
      <c r="S4" s="31"/>
      <c r="T4" s="28">
        <f>SUM(D4:S4)</f>
        <v>287.41015278977267</v>
      </c>
    </row>
    <row r="5" spans="1:22" x14ac:dyDescent="0.25">
      <c r="A5" s="105" t="s">
        <v>27</v>
      </c>
      <c r="B5" s="25" t="s">
        <v>156</v>
      </c>
      <c r="C5" s="26" t="s">
        <v>112</v>
      </c>
      <c r="D5" s="82"/>
      <c r="E5" s="19"/>
      <c r="F5" s="43"/>
      <c r="G5" s="19"/>
      <c r="H5" s="43"/>
      <c r="I5" s="19"/>
      <c r="J5" s="19"/>
      <c r="K5" s="43"/>
      <c r="L5" s="43"/>
      <c r="M5" s="27"/>
      <c r="N5" s="19"/>
      <c r="O5" s="19"/>
      <c r="P5" s="19"/>
      <c r="Q5" s="19"/>
      <c r="R5" s="19">
        <f>100-(95.15-95.15)/95.15*50</f>
        <v>100</v>
      </c>
      <c r="S5" s="31">
        <f>100-(88.88-58.77)/58.77*50</f>
        <v>74.383188701718581</v>
      </c>
      <c r="T5" s="28">
        <f>SUM(D5:S5)</f>
        <v>174.38318870171858</v>
      </c>
    </row>
    <row r="6" spans="1:22" x14ac:dyDescent="0.25">
      <c r="A6" s="105" t="s">
        <v>30</v>
      </c>
      <c r="B6" s="25" t="s">
        <v>157</v>
      </c>
      <c r="C6" s="26" t="s">
        <v>112</v>
      </c>
      <c r="D6" s="42"/>
      <c r="E6" s="19"/>
      <c r="F6" s="39"/>
      <c r="G6" s="39"/>
      <c r="H6" s="19"/>
      <c r="I6" s="19"/>
      <c r="J6" s="19"/>
      <c r="K6" s="19"/>
      <c r="L6" s="43"/>
      <c r="M6" s="19"/>
      <c r="N6" s="19"/>
      <c r="O6" s="43"/>
      <c r="P6" s="43"/>
      <c r="Q6" s="43"/>
      <c r="R6" s="27">
        <f>100-(128.47-95.15)/95.15*50</f>
        <v>82.490803993694172</v>
      </c>
      <c r="S6" s="27">
        <f>100-(106.05-58.77)/58.77*50</f>
        <v>59.775395610005113</v>
      </c>
      <c r="T6" s="28">
        <f>SUM(D6:S6)</f>
        <v>142.26619960369928</v>
      </c>
    </row>
    <row r="7" spans="1:22" x14ac:dyDescent="0.25">
      <c r="A7" s="105" t="s">
        <v>34</v>
      </c>
      <c r="B7" s="25" t="s">
        <v>168</v>
      </c>
      <c r="C7" s="26" t="s">
        <v>75</v>
      </c>
      <c r="D7" s="41"/>
      <c r="E7" s="23"/>
      <c r="F7" s="19"/>
      <c r="G7" s="44"/>
      <c r="H7" s="23"/>
      <c r="I7" s="23"/>
      <c r="J7" s="23"/>
      <c r="K7" s="23"/>
      <c r="L7" s="43"/>
      <c r="M7" s="19"/>
      <c r="N7" s="19"/>
      <c r="O7" s="23"/>
      <c r="P7" s="23"/>
      <c r="Q7" s="23"/>
      <c r="R7" s="27"/>
      <c r="S7" s="27">
        <f>100-(58.77-58.77)/58.77*50</f>
        <v>100</v>
      </c>
      <c r="T7" s="28">
        <f>SUM(D7:S7)</f>
        <v>100</v>
      </c>
    </row>
    <row r="8" spans="1:22" ht="15.75" thickBot="1" x14ac:dyDescent="0.3">
      <c r="A8" s="106" t="s">
        <v>37</v>
      </c>
      <c r="B8" s="46" t="s">
        <v>89</v>
      </c>
      <c r="C8" s="47" t="s">
        <v>90</v>
      </c>
      <c r="D8" s="72"/>
      <c r="E8" s="74"/>
      <c r="F8" s="49"/>
      <c r="G8" s="49"/>
      <c r="H8" s="74"/>
      <c r="I8" s="74"/>
      <c r="J8" s="74"/>
      <c r="K8" s="74"/>
      <c r="L8" s="72"/>
      <c r="M8" s="49">
        <f>100-(126.2-103.37)/103.37*50</f>
        <v>88.957144239140945</v>
      </c>
      <c r="N8" s="49"/>
      <c r="O8" s="51"/>
      <c r="P8" s="51"/>
      <c r="Q8" s="51"/>
      <c r="R8" s="49"/>
      <c r="S8" s="52"/>
      <c r="T8" s="54">
        <f>SUM(D8:S8)</f>
        <v>88.957144239140945</v>
      </c>
    </row>
    <row r="9" spans="1:22" x14ac:dyDescent="0.25">
      <c r="A9" s="2"/>
      <c r="B9" s="2"/>
      <c r="C9" s="2"/>
      <c r="D9" s="2"/>
      <c r="E9" s="2"/>
      <c r="F9" s="59"/>
      <c r="G9" s="59"/>
      <c r="H9" s="2"/>
      <c r="I9" s="2"/>
      <c r="J9" s="2"/>
      <c r="K9" s="2"/>
      <c r="L9" s="2"/>
      <c r="M9" s="2"/>
      <c r="N9" s="2"/>
      <c r="O9" s="2"/>
      <c r="P9" s="2"/>
      <c r="Q9" s="2"/>
      <c r="R9" s="55"/>
      <c r="S9" s="2"/>
      <c r="T9" s="2"/>
    </row>
    <row r="10" spans="1:22" s="60" customFormat="1" x14ac:dyDescent="0.25">
      <c r="A10" s="60" t="s">
        <v>68</v>
      </c>
    </row>
    <row r="11" spans="1:22" s="61" customFormat="1" x14ac:dyDescent="0.25">
      <c r="A11" s="61" t="s">
        <v>69</v>
      </c>
    </row>
  </sheetData>
  <sortState ref="A3:T8">
    <sortCondition descending="1" ref="T3"/>
  </sortState>
  <mergeCells count="1">
    <mergeCell ref="A1:T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activeCell="R12" sqref="R12"/>
    </sheetView>
  </sheetViews>
  <sheetFormatPr defaultColWidth="9" defaultRowHeight="15" x14ac:dyDescent="0.25"/>
  <cols>
    <col min="1" max="1" width="5.140625" style="3" customWidth="1"/>
    <col min="2" max="2" width="19" style="3" customWidth="1"/>
    <col min="3" max="3" width="15.42578125" style="3" customWidth="1"/>
    <col min="4" max="5" width="9.140625" style="3" customWidth="1"/>
    <col min="6" max="6" width="9.140625" style="62" customWidth="1"/>
    <col min="7" max="20" width="9.140625" style="3" customWidth="1"/>
    <col min="21" max="31" width="9" style="2"/>
    <col min="32" max="256" width="9" style="3"/>
    <col min="257" max="257" width="5.140625" style="3" customWidth="1"/>
    <col min="258" max="258" width="19" style="3" customWidth="1"/>
    <col min="259" max="259" width="15.42578125" style="3" customWidth="1"/>
    <col min="260" max="276" width="9.140625" style="3" customWidth="1"/>
    <col min="277" max="512" width="9" style="3"/>
    <col min="513" max="513" width="5.140625" style="3" customWidth="1"/>
    <col min="514" max="514" width="19" style="3" customWidth="1"/>
    <col min="515" max="515" width="15.42578125" style="3" customWidth="1"/>
    <col min="516" max="532" width="9.140625" style="3" customWidth="1"/>
    <col min="533" max="768" width="9" style="3"/>
    <col min="769" max="769" width="5.140625" style="3" customWidth="1"/>
    <col min="770" max="770" width="19" style="3" customWidth="1"/>
    <col min="771" max="771" width="15.42578125" style="3" customWidth="1"/>
    <col min="772" max="788" width="9.140625" style="3" customWidth="1"/>
    <col min="789" max="1024" width="9" style="3"/>
    <col min="1025" max="1025" width="5.140625" style="3" customWidth="1"/>
    <col min="1026" max="1026" width="19" style="3" customWidth="1"/>
    <col min="1027" max="1027" width="15.42578125" style="3" customWidth="1"/>
    <col min="1028" max="1044" width="9.140625" style="3" customWidth="1"/>
    <col min="1045" max="1280" width="9" style="3"/>
    <col min="1281" max="1281" width="5.140625" style="3" customWidth="1"/>
    <col min="1282" max="1282" width="19" style="3" customWidth="1"/>
    <col min="1283" max="1283" width="15.42578125" style="3" customWidth="1"/>
    <col min="1284" max="1300" width="9.140625" style="3" customWidth="1"/>
    <col min="1301" max="1536" width="9" style="3"/>
    <col min="1537" max="1537" width="5.140625" style="3" customWidth="1"/>
    <col min="1538" max="1538" width="19" style="3" customWidth="1"/>
    <col min="1539" max="1539" width="15.42578125" style="3" customWidth="1"/>
    <col min="1540" max="1556" width="9.140625" style="3" customWidth="1"/>
    <col min="1557" max="1792" width="9" style="3"/>
    <col min="1793" max="1793" width="5.140625" style="3" customWidth="1"/>
    <col min="1794" max="1794" width="19" style="3" customWidth="1"/>
    <col min="1795" max="1795" width="15.42578125" style="3" customWidth="1"/>
    <col min="1796" max="1812" width="9.140625" style="3" customWidth="1"/>
    <col min="1813" max="2048" width="9" style="3"/>
    <col min="2049" max="2049" width="5.140625" style="3" customWidth="1"/>
    <col min="2050" max="2050" width="19" style="3" customWidth="1"/>
    <col min="2051" max="2051" width="15.42578125" style="3" customWidth="1"/>
    <col min="2052" max="2068" width="9.140625" style="3" customWidth="1"/>
    <col min="2069" max="2304" width="9" style="3"/>
    <col min="2305" max="2305" width="5.140625" style="3" customWidth="1"/>
    <col min="2306" max="2306" width="19" style="3" customWidth="1"/>
    <col min="2307" max="2307" width="15.42578125" style="3" customWidth="1"/>
    <col min="2308" max="2324" width="9.140625" style="3" customWidth="1"/>
    <col min="2325" max="2560" width="9" style="3"/>
    <col min="2561" max="2561" width="5.140625" style="3" customWidth="1"/>
    <col min="2562" max="2562" width="19" style="3" customWidth="1"/>
    <col min="2563" max="2563" width="15.42578125" style="3" customWidth="1"/>
    <col min="2564" max="2580" width="9.140625" style="3" customWidth="1"/>
    <col min="2581" max="2816" width="9" style="3"/>
    <col min="2817" max="2817" width="5.140625" style="3" customWidth="1"/>
    <col min="2818" max="2818" width="19" style="3" customWidth="1"/>
    <col min="2819" max="2819" width="15.42578125" style="3" customWidth="1"/>
    <col min="2820" max="2836" width="9.140625" style="3" customWidth="1"/>
    <col min="2837" max="3072" width="9" style="3"/>
    <col min="3073" max="3073" width="5.140625" style="3" customWidth="1"/>
    <col min="3074" max="3074" width="19" style="3" customWidth="1"/>
    <col min="3075" max="3075" width="15.42578125" style="3" customWidth="1"/>
    <col min="3076" max="3092" width="9.140625" style="3" customWidth="1"/>
    <col min="3093" max="3328" width="9" style="3"/>
    <col min="3329" max="3329" width="5.140625" style="3" customWidth="1"/>
    <col min="3330" max="3330" width="19" style="3" customWidth="1"/>
    <col min="3331" max="3331" width="15.42578125" style="3" customWidth="1"/>
    <col min="3332" max="3348" width="9.140625" style="3" customWidth="1"/>
    <col min="3349" max="3584" width="9" style="3"/>
    <col min="3585" max="3585" width="5.140625" style="3" customWidth="1"/>
    <col min="3586" max="3586" width="19" style="3" customWidth="1"/>
    <col min="3587" max="3587" width="15.42578125" style="3" customWidth="1"/>
    <col min="3588" max="3604" width="9.140625" style="3" customWidth="1"/>
    <col min="3605" max="3840" width="9" style="3"/>
    <col min="3841" max="3841" width="5.140625" style="3" customWidth="1"/>
    <col min="3842" max="3842" width="19" style="3" customWidth="1"/>
    <col min="3843" max="3843" width="15.42578125" style="3" customWidth="1"/>
    <col min="3844" max="3860" width="9.140625" style="3" customWidth="1"/>
    <col min="3861" max="4096" width="9" style="3"/>
    <col min="4097" max="4097" width="5.140625" style="3" customWidth="1"/>
    <col min="4098" max="4098" width="19" style="3" customWidth="1"/>
    <col min="4099" max="4099" width="15.42578125" style="3" customWidth="1"/>
    <col min="4100" max="4116" width="9.140625" style="3" customWidth="1"/>
    <col min="4117" max="4352" width="9" style="3"/>
    <col min="4353" max="4353" width="5.140625" style="3" customWidth="1"/>
    <col min="4354" max="4354" width="19" style="3" customWidth="1"/>
    <col min="4355" max="4355" width="15.42578125" style="3" customWidth="1"/>
    <col min="4356" max="4372" width="9.140625" style="3" customWidth="1"/>
    <col min="4373" max="4608" width="9" style="3"/>
    <col min="4609" max="4609" width="5.140625" style="3" customWidth="1"/>
    <col min="4610" max="4610" width="19" style="3" customWidth="1"/>
    <col min="4611" max="4611" width="15.42578125" style="3" customWidth="1"/>
    <col min="4612" max="4628" width="9.140625" style="3" customWidth="1"/>
    <col min="4629" max="4864" width="9" style="3"/>
    <col min="4865" max="4865" width="5.140625" style="3" customWidth="1"/>
    <col min="4866" max="4866" width="19" style="3" customWidth="1"/>
    <col min="4867" max="4867" width="15.42578125" style="3" customWidth="1"/>
    <col min="4868" max="4884" width="9.140625" style="3" customWidth="1"/>
    <col min="4885" max="5120" width="9" style="3"/>
    <col min="5121" max="5121" width="5.140625" style="3" customWidth="1"/>
    <col min="5122" max="5122" width="19" style="3" customWidth="1"/>
    <col min="5123" max="5123" width="15.42578125" style="3" customWidth="1"/>
    <col min="5124" max="5140" width="9.140625" style="3" customWidth="1"/>
    <col min="5141" max="5376" width="9" style="3"/>
    <col min="5377" max="5377" width="5.140625" style="3" customWidth="1"/>
    <col min="5378" max="5378" width="19" style="3" customWidth="1"/>
    <col min="5379" max="5379" width="15.42578125" style="3" customWidth="1"/>
    <col min="5380" max="5396" width="9.140625" style="3" customWidth="1"/>
    <col min="5397" max="5632" width="9" style="3"/>
    <col min="5633" max="5633" width="5.140625" style="3" customWidth="1"/>
    <col min="5634" max="5634" width="19" style="3" customWidth="1"/>
    <col min="5635" max="5635" width="15.42578125" style="3" customWidth="1"/>
    <col min="5636" max="5652" width="9.140625" style="3" customWidth="1"/>
    <col min="5653" max="5888" width="9" style="3"/>
    <col min="5889" max="5889" width="5.140625" style="3" customWidth="1"/>
    <col min="5890" max="5890" width="19" style="3" customWidth="1"/>
    <col min="5891" max="5891" width="15.42578125" style="3" customWidth="1"/>
    <col min="5892" max="5908" width="9.140625" style="3" customWidth="1"/>
    <col min="5909" max="6144" width="9" style="3"/>
    <col min="6145" max="6145" width="5.140625" style="3" customWidth="1"/>
    <col min="6146" max="6146" width="19" style="3" customWidth="1"/>
    <col min="6147" max="6147" width="15.42578125" style="3" customWidth="1"/>
    <col min="6148" max="6164" width="9.140625" style="3" customWidth="1"/>
    <col min="6165" max="6400" width="9" style="3"/>
    <col min="6401" max="6401" width="5.140625" style="3" customWidth="1"/>
    <col min="6402" max="6402" width="19" style="3" customWidth="1"/>
    <col min="6403" max="6403" width="15.42578125" style="3" customWidth="1"/>
    <col min="6404" max="6420" width="9.140625" style="3" customWidth="1"/>
    <col min="6421" max="6656" width="9" style="3"/>
    <col min="6657" max="6657" width="5.140625" style="3" customWidth="1"/>
    <col min="6658" max="6658" width="19" style="3" customWidth="1"/>
    <col min="6659" max="6659" width="15.42578125" style="3" customWidth="1"/>
    <col min="6660" max="6676" width="9.140625" style="3" customWidth="1"/>
    <col min="6677" max="6912" width="9" style="3"/>
    <col min="6913" max="6913" width="5.140625" style="3" customWidth="1"/>
    <col min="6914" max="6914" width="19" style="3" customWidth="1"/>
    <col min="6915" max="6915" width="15.42578125" style="3" customWidth="1"/>
    <col min="6916" max="6932" width="9.140625" style="3" customWidth="1"/>
    <col min="6933" max="7168" width="9" style="3"/>
    <col min="7169" max="7169" width="5.140625" style="3" customWidth="1"/>
    <col min="7170" max="7170" width="19" style="3" customWidth="1"/>
    <col min="7171" max="7171" width="15.42578125" style="3" customWidth="1"/>
    <col min="7172" max="7188" width="9.140625" style="3" customWidth="1"/>
    <col min="7189" max="7424" width="9" style="3"/>
    <col min="7425" max="7425" width="5.140625" style="3" customWidth="1"/>
    <col min="7426" max="7426" width="19" style="3" customWidth="1"/>
    <col min="7427" max="7427" width="15.42578125" style="3" customWidth="1"/>
    <col min="7428" max="7444" width="9.140625" style="3" customWidth="1"/>
    <col min="7445" max="7680" width="9" style="3"/>
    <col min="7681" max="7681" width="5.140625" style="3" customWidth="1"/>
    <col min="7682" max="7682" width="19" style="3" customWidth="1"/>
    <col min="7683" max="7683" width="15.42578125" style="3" customWidth="1"/>
    <col min="7684" max="7700" width="9.140625" style="3" customWidth="1"/>
    <col min="7701" max="7936" width="9" style="3"/>
    <col min="7937" max="7937" width="5.140625" style="3" customWidth="1"/>
    <col min="7938" max="7938" width="19" style="3" customWidth="1"/>
    <col min="7939" max="7939" width="15.42578125" style="3" customWidth="1"/>
    <col min="7940" max="7956" width="9.140625" style="3" customWidth="1"/>
    <col min="7957" max="8192" width="9" style="3"/>
    <col min="8193" max="8193" width="5.140625" style="3" customWidth="1"/>
    <col min="8194" max="8194" width="19" style="3" customWidth="1"/>
    <col min="8195" max="8195" width="15.42578125" style="3" customWidth="1"/>
    <col min="8196" max="8212" width="9.140625" style="3" customWidth="1"/>
    <col min="8213" max="8448" width="9" style="3"/>
    <col min="8449" max="8449" width="5.140625" style="3" customWidth="1"/>
    <col min="8450" max="8450" width="19" style="3" customWidth="1"/>
    <col min="8451" max="8451" width="15.42578125" style="3" customWidth="1"/>
    <col min="8452" max="8468" width="9.140625" style="3" customWidth="1"/>
    <col min="8469" max="8704" width="9" style="3"/>
    <col min="8705" max="8705" width="5.140625" style="3" customWidth="1"/>
    <col min="8706" max="8706" width="19" style="3" customWidth="1"/>
    <col min="8707" max="8707" width="15.42578125" style="3" customWidth="1"/>
    <col min="8708" max="8724" width="9.140625" style="3" customWidth="1"/>
    <col min="8725" max="8960" width="9" style="3"/>
    <col min="8961" max="8961" width="5.140625" style="3" customWidth="1"/>
    <col min="8962" max="8962" width="19" style="3" customWidth="1"/>
    <col min="8963" max="8963" width="15.42578125" style="3" customWidth="1"/>
    <col min="8964" max="8980" width="9.140625" style="3" customWidth="1"/>
    <col min="8981" max="9216" width="9" style="3"/>
    <col min="9217" max="9217" width="5.140625" style="3" customWidth="1"/>
    <col min="9218" max="9218" width="19" style="3" customWidth="1"/>
    <col min="9219" max="9219" width="15.42578125" style="3" customWidth="1"/>
    <col min="9220" max="9236" width="9.140625" style="3" customWidth="1"/>
    <col min="9237" max="9472" width="9" style="3"/>
    <col min="9473" max="9473" width="5.140625" style="3" customWidth="1"/>
    <col min="9474" max="9474" width="19" style="3" customWidth="1"/>
    <col min="9475" max="9475" width="15.42578125" style="3" customWidth="1"/>
    <col min="9476" max="9492" width="9.140625" style="3" customWidth="1"/>
    <col min="9493" max="9728" width="9" style="3"/>
    <col min="9729" max="9729" width="5.140625" style="3" customWidth="1"/>
    <col min="9730" max="9730" width="19" style="3" customWidth="1"/>
    <col min="9731" max="9731" width="15.42578125" style="3" customWidth="1"/>
    <col min="9732" max="9748" width="9.140625" style="3" customWidth="1"/>
    <col min="9749" max="9984" width="9" style="3"/>
    <col min="9985" max="9985" width="5.140625" style="3" customWidth="1"/>
    <col min="9986" max="9986" width="19" style="3" customWidth="1"/>
    <col min="9987" max="9987" width="15.4257812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19" style="3" customWidth="1"/>
    <col min="10243" max="10243" width="15.4257812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19" style="3" customWidth="1"/>
    <col min="10499" max="10499" width="15.4257812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19" style="3" customWidth="1"/>
    <col min="10755" max="10755" width="15.4257812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19" style="3" customWidth="1"/>
    <col min="11011" max="11011" width="15.4257812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19" style="3" customWidth="1"/>
    <col min="11267" max="11267" width="15.4257812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19" style="3" customWidth="1"/>
    <col min="11523" max="11523" width="15.4257812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19" style="3" customWidth="1"/>
    <col min="11779" max="11779" width="15.4257812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19" style="3" customWidth="1"/>
    <col min="12035" max="12035" width="15.4257812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19" style="3" customWidth="1"/>
    <col min="12291" max="12291" width="15.4257812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19" style="3" customWidth="1"/>
    <col min="12547" max="12547" width="15.4257812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19" style="3" customWidth="1"/>
    <col min="12803" max="12803" width="15.4257812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19" style="3" customWidth="1"/>
    <col min="13059" max="13059" width="15.4257812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19" style="3" customWidth="1"/>
    <col min="13315" max="13315" width="15.4257812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19" style="3" customWidth="1"/>
    <col min="13571" max="13571" width="15.4257812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19" style="3" customWidth="1"/>
    <col min="13827" max="13827" width="15.4257812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19" style="3" customWidth="1"/>
    <col min="14083" max="14083" width="15.4257812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19" style="3" customWidth="1"/>
    <col min="14339" max="14339" width="15.4257812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19" style="3" customWidth="1"/>
    <col min="14595" max="14595" width="15.4257812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19" style="3" customWidth="1"/>
    <col min="14851" max="14851" width="15.4257812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19" style="3" customWidth="1"/>
    <col min="15107" max="15107" width="15.4257812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19" style="3" customWidth="1"/>
    <col min="15363" max="15363" width="15.4257812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19" style="3" customWidth="1"/>
    <col min="15619" max="15619" width="15.4257812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19" style="3" customWidth="1"/>
    <col min="15875" max="15875" width="15.4257812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19" style="3" customWidth="1"/>
    <col min="16131" max="16131" width="15.425781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2" ht="159.75" thickBot="1" x14ac:dyDescent="0.3">
      <c r="A2" s="107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</row>
    <row r="3" spans="1:22" ht="15.75" thickBot="1" x14ac:dyDescent="0.3">
      <c r="A3" s="155" t="s">
        <v>21</v>
      </c>
      <c r="B3" s="156" t="s">
        <v>91</v>
      </c>
      <c r="C3" s="157" t="s">
        <v>42</v>
      </c>
      <c r="D3" s="158"/>
      <c r="E3" s="159"/>
      <c r="F3" s="159"/>
      <c r="G3" s="159"/>
      <c r="H3" s="159">
        <f>100-(97.18-97.18)/97.18*50</f>
        <v>100</v>
      </c>
      <c r="I3" s="159">
        <f>100-(63.27-63.27)/63.27*50</f>
        <v>100</v>
      </c>
      <c r="J3" s="159"/>
      <c r="K3" s="159"/>
      <c r="L3" s="160"/>
      <c r="M3" s="161"/>
      <c r="N3" s="160"/>
      <c r="O3" s="160"/>
      <c r="P3" s="160"/>
      <c r="Q3" s="160"/>
      <c r="R3" s="160"/>
      <c r="S3" s="162"/>
      <c r="T3" s="163">
        <f>SUM(D3:S3)</f>
        <v>200</v>
      </c>
    </row>
    <row r="4" spans="1:22" x14ac:dyDescent="0.25">
      <c r="A4" s="2"/>
      <c r="B4" s="2"/>
      <c r="C4" s="2"/>
      <c r="D4" s="55"/>
      <c r="E4" s="55"/>
      <c r="F4" s="56"/>
      <c r="G4" s="55"/>
      <c r="H4" s="55"/>
      <c r="I4" s="55"/>
      <c r="J4" s="55"/>
      <c r="K4" s="55"/>
      <c r="L4" s="55"/>
      <c r="M4" s="56"/>
      <c r="N4" s="55"/>
      <c r="O4" s="56"/>
      <c r="P4" s="56"/>
      <c r="Q4" s="56"/>
      <c r="R4" s="56"/>
      <c r="S4" s="55"/>
      <c r="T4" s="58"/>
    </row>
    <row r="5" spans="1:22" x14ac:dyDescent="0.25">
      <c r="A5" s="2"/>
      <c r="B5" s="2"/>
      <c r="C5" s="2"/>
      <c r="D5" s="55"/>
      <c r="E5" s="55"/>
      <c r="F5" s="56"/>
      <c r="G5" s="55"/>
      <c r="H5" s="55"/>
      <c r="I5" s="55"/>
      <c r="J5" s="55"/>
      <c r="K5" s="55"/>
      <c r="L5" s="55"/>
      <c r="M5" s="56"/>
      <c r="N5" s="55"/>
      <c r="O5" s="56"/>
      <c r="P5" s="56"/>
      <c r="Q5" s="56"/>
      <c r="R5" s="56"/>
      <c r="S5" s="55"/>
      <c r="T5" s="58"/>
    </row>
    <row r="6" spans="1:22" x14ac:dyDescent="0.25">
      <c r="A6" s="2"/>
      <c r="B6" s="2"/>
      <c r="C6" s="2"/>
      <c r="D6" s="59"/>
      <c r="E6" s="2"/>
      <c r="F6" s="59"/>
      <c r="G6" s="2"/>
      <c r="H6" s="2"/>
      <c r="I6" s="2"/>
      <c r="J6" s="59"/>
      <c r="K6" s="59"/>
      <c r="L6" s="2"/>
      <c r="M6" s="108"/>
      <c r="N6" s="2"/>
      <c r="O6" s="2"/>
      <c r="P6" s="2"/>
      <c r="Q6" s="2"/>
      <c r="R6" s="2"/>
      <c r="S6" s="2"/>
      <c r="T6" s="2"/>
    </row>
    <row r="7" spans="1:22" s="60" customFormat="1" x14ac:dyDescent="0.25">
      <c r="A7" s="60" t="s">
        <v>68</v>
      </c>
    </row>
    <row r="8" spans="1:22" s="61" customFormat="1" x14ac:dyDescent="0.25">
      <c r="A8" s="61" t="s">
        <v>69</v>
      </c>
    </row>
    <row r="9" spans="1:22" x14ac:dyDescent="0.25">
      <c r="A9" s="2"/>
      <c r="B9" s="2"/>
      <c r="C9" s="2"/>
      <c r="D9" s="2"/>
      <c r="E9" s="2"/>
      <c r="F9" s="5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2" x14ac:dyDescent="0.25">
      <c r="A10" s="2"/>
      <c r="B10" s="2"/>
      <c r="C10" s="2"/>
      <c r="D10" s="2"/>
      <c r="E10" s="2"/>
      <c r="F10" s="5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2" x14ac:dyDescent="0.25">
      <c r="A11" s="2"/>
      <c r="B11" s="2"/>
      <c r="C11" s="2"/>
      <c r="D11" s="2"/>
      <c r="E11" s="2"/>
      <c r="F11" s="5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2" x14ac:dyDescent="0.25">
      <c r="A12" s="2"/>
      <c r="B12" s="2"/>
      <c r="C12" s="2"/>
      <c r="D12" s="2"/>
      <c r="E12" s="2"/>
      <c r="F12" s="5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2" x14ac:dyDescent="0.25">
      <c r="A13" s="2"/>
      <c r="B13" s="2"/>
      <c r="C13" s="2"/>
      <c r="D13" s="2"/>
      <c r="E13" s="2"/>
      <c r="F13" s="5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2" x14ac:dyDescent="0.25">
      <c r="A14" s="2"/>
      <c r="B14" s="2"/>
      <c r="C14" s="2"/>
      <c r="D14" s="2"/>
      <c r="E14" s="2"/>
      <c r="F14" s="5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2" s="2" customFormat="1" x14ac:dyDescent="0.25">
      <c r="F15" s="59"/>
    </row>
    <row r="16" spans="1:22" s="2" customFormat="1" x14ac:dyDescent="0.25">
      <c r="F16" s="59"/>
    </row>
    <row r="17" spans="6:6" s="2" customFormat="1" x14ac:dyDescent="0.25">
      <c r="F17" s="59"/>
    </row>
    <row r="18" spans="6:6" s="2" customFormat="1" x14ac:dyDescent="0.25">
      <c r="F18" s="59"/>
    </row>
    <row r="19" spans="6:6" s="2" customFormat="1" x14ac:dyDescent="0.25">
      <c r="F19" s="59"/>
    </row>
    <row r="20" spans="6:6" s="2" customFormat="1" x14ac:dyDescent="0.25">
      <c r="F20" s="59"/>
    </row>
    <row r="21" spans="6:6" s="2" customFormat="1" x14ac:dyDescent="0.25">
      <c r="F21" s="59"/>
    </row>
    <row r="22" spans="6:6" s="2" customFormat="1" x14ac:dyDescent="0.25">
      <c r="F22" s="59"/>
    </row>
    <row r="23" spans="6:6" s="2" customFormat="1" x14ac:dyDescent="0.25">
      <c r="F23" s="59"/>
    </row>
    <row r="24" spans="6:6" s="2" customFormat="1" x14ac:dyDescent="0.25">
      <c r="F24" s="59"/>
    </row>
    <row r="25" spans="6:6" s="2" customFormat="1" x14ac:dyDescent="0.25">
      <c r="F25" s="59"/>
    </row>
    <row r="26" spans="6:6" s="2" customFormat="1" x14ac:dyDescent="0.25">
      <c r="F26" s="59"/>
    </row>
    <row r="27" spans="6:6" s="2" customFormat="1" x14ac:dyDescent="0.25">
      <c r="F27" s="59"/>
    </row>
    <row r="28" spans="6:6" s="2" customFormat="1" x14ac:dyDescent="0.25">
      <c r="F28" s="59"/>
    </row>
    <row r="29" spans="6:6" s="2" customFormat="1" x14ac:dyDescent="0.25">
      <c r="F29" s="59"/>
    </row>
    <row r="30" spans="6:6" s="2" customFormat="1" x14ac:dyDescent="0.25">
      <c r="F30" s="59"/>
    </row>
    <row r="31" spans="6:6" s="2" customFormat="1" x14ac:dyDescent="0.25">
      <c r="F31" s="59"/>
    </row>
    <row r="32" spans="6:6" s="2" customFormat="1" x14ac:dyDescent="0.25">
      <c r="F32" s="59"/>
    </row>
  </sheetData>
  <mergeCells count="1">
    <mergeCell ref="A1:T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workbookViewId="0">
      <selection activeCell="R2" sqref="R2:S2"/>
    </sheetView>
  </sheetViews>
  <sheetFormatPr defaultColWidth="9" defaultRowHeight="15" x14ac:dyDescent="0.25"/>
  <cols>
    <col min="1" max="1" width="5.140625" style="3" customWidth="1"/>
    <col min="2" max="2" width="21.5703125" style="3" customWidth="1"/>
    <col min="3" max="3" width="19.140625" style="3" customWidth="1"/>
    <col min="4" max="5" width="9.140625" style="3" customWidth="1"/>
    <col min="6" max="6" width="9.140625" style="62" customWidth="1"/>
    <col min="7" max="20" width="9.140625" style="3" customWidth="1"/>
    <col min="21" max="31" width="9" style="2"/>
    <col min="32" max="256" width="9" style="3"/>
    <col min="257" max="257" width="5.140625" style="3" customWidth="1"/>
    <col min="258" max="258" width="21.5703125" style="3" customWidth="1"/>
    <col min="259" max="259" width="19.140625" style="3" customWidth="1"/>
    <col min="260" max="276" width="9.140625" style="3" customWidth="1"/>
    <col min="277" max="512" width="9" style="3"/>
    <col min="513" max="513" width="5.140625" style="3" customWidth="1"/>
    <col min="514" max="514" width="21.5703125" style="3" customWidth="1"/>
    <col min="515" max="515" width="19.140625" style="3" customWidth="1"/>
    <col min="516" max="532" width="9.140625" style="3" customWidth="1"/>
    <col min="533" max="768" width="9" style="3"/>
    <col min="769" max="769" width="5.140625" style="3" customWidth="1"/>
    <col min="770" max="770" width="21.5703125" style="3" customWidth="1"/>
    <col min="771" max="771" width="19.140625" style="3" customWidth="1"/>
    <col min="772" max="788" width="9.140625" style="3" customWidth="1"/>
    <col min="789" max="1024" width="9" style="3"/>
    <col min="1025" max="1025" width="5.140625" style="3" customWidth="1"/>
    <col min="1026" max="1026" width="21.5703125" style="3" customWidth="1"/>
    <col min="1027" max="1027" width="19.140625" style="3" customWidth="1"/>
    <col min="1028" max="1044" width="9.140625" style="3" customWidth="1"/>
    <col min="1045" max="1280" width="9" style="3"/>
    <col min="1281" max="1281" width="5.140625" style="3" customWidth="1"/>
    <col min="1282" max="1282" width="21.5703125" style="3" customWidth="1"/>
    <col min="1283" max="1283" width="19.140625" style="3" customWidth="1"/>
    <col min="1284" max="1300" width="9.140625" style="3" customWidth="1"/>
    <col min="1301" max="1536" width="9" style="3"/>
    <col min="1537" max="1537" width="5.140625" style="3" customWidth="1"/>
    <col min="1538" max="1538" width="21.5703125" style="3" customWidth="1"/>
    <col min="1539" max="1539" width="19.140625" style="3" customWidth="1"/>
    <col min="1540" max="1556" width="9.140625" style="3" customWidth="1"/>
    <col min="1557" max="1792" width="9" style="3"/>
    <col min="1793" max="1793" width="5.140625" style="3" customWidth="1"/>
    <col min="1794" max="1794" width="21.5703125" style="3" customWidth="1"/>
    <col min="1795" max="1795" width="19.140625" style="3" customWidth="1"/>
    <col min="1796" max="1812" width="9.140625" style="3" customWidth="1"/>
    <col min="1813" max="2048" width="9" style="3"/>
    <col min="2049" max="2049" width="5.140625" style="3" customWidth="1"/>
    <col min="2050" max="2050" width="21.5703125" style="3" customWidth="1"/>
    <col min="2051" max="2051" width="19.140625" style="3" customWidth="1"/>
    <col min="2052" max="2068" width="9.140625" style="3" customWidth="1"/>
    <col min="2069" max="2304" width="9" style="3"/>
    <col min="2305" max="2305" width="5.140625" style="3" customWidth="1"/>
    <col min="2306" max="2306" width="21.5703125" style="3" customWidth="1"/>
    <col min="2307" max="2307" width="19.140625" style="3" customWidth="1"/>
    <col min="2308" max="2324" width="9.140625" style="3" customWidth="1"/>
    <col min="2325" max="2560" width="9" style="3"/>
    <col min="2561" max="2561" width="5.140625" style="3" customWidth="1"/>
    <col min="2562" max="2562" width="21.5703125" style="3" customWidth="1"/>
    <col min="2563" max="2563" width="19.140625" style="3" customWidth="1"/>
    <col min="2564" max="2580" width="9.140625" style="3" customWidth="1"/>
    <col min="2581" max="2816" width="9" style="3"/>
    <col min="2817" max="2817" width="5.140625" style="3" customWidth="1"/>
    <col min="2818" max="2818" width="21.5703125" style="3" customWidth="1"/>
    <col min="2819" max="2819" width="19.140625" style="3" customWidth="1"/>
    <col min="2820" max="2836" width="9.140625" style="3" customWidth="1"/>
    <col min="2837" max="3072" width="9" style="3"/>
    <col min="3073" max="3073" width="5.140625" style="3" customWidth="1"/>
    <col min="3074" max="3074" width="21.5703125" style="3" customWidth="1"/>
    <col min="3075" max="3075" width="19.140625" style="3" customWidth="1"/>
    <col min="3076" max="3092" width="9.140625" style="3" customWidth="1"/>
    <col min="3093" max="3328" width="9" style="3"/>
    <col min="3329" max="3329" width="5.140625" style="3" customWidth="1"/>
    <col min="3330" max="3330" width="21.5703125" style="3" customWidth="1"/>
    <col min="3331" max="3331" width="19.140625" style="3" customWidth="1"/>
    <col min="3332" max="3348" width="9.140625" style="3" customWidth="1"/>
    <col min="3349" max="3584" width="9" style="3"/>
    <col min="3585" max="3585" width="5.140625" style="3" customWidth="1"/>
    <col min="3586" max="3586" width="21.5703125" style="3" customWidth="1"/>
    <col min="3587" max="3587" width="19.140625" style="3" customWidth="1"/>
    <col min="3588" max="3604" width="9.140625" style="3" customWidth="1"/>
    <col min="3605" max="3840" width="9" style="3"/>
    <col min="3841" max="3841" width="5.140625" style="3" customWidth="1"/>
    <col min="3842" max="3842" width="21.5703125" style="3" customWidth="1"/>
    <col min="3843" max="3843" width="19.140625" style="3" customWidth="1"/>
    <col min="3844" max="3860" width="9.140625" style="3" customWidth="1"/>
    <col min="3861" max="4096" width="9" style="3"/>
    <col min="4097" max="4097" width="5.140625" style="3" customWidth="1"/>
    <col min="4098" max="4098" width="21.5703125" style="3" customWidth="1"/>
    <col min="4099" max="4099" width="19.140625" style="3" customWidth="1"/>
    <col min="4100" max="4116" width="9.140625" style="3" customWidth="1"/>
    <col min="4117" max="4352" width="9" style="3"/>
    <col min="4353" max="4353" width="5.140625" style="3" customWidth="1"/>
    <col min="4354" max="4354" width="21.5703125" style="3" customWidth="1"/>
    <col min="4355" max="4355" width="19.140625" style="3" customWidth="1"/>
    <col min="4356" max="4372" width="9.140625" style="3" customWidth="1"/>
    <col min="4373" max="4608" width="9" style="3"/>
    <col min="4609" max="4609" width="5.140625" style="3" customWidth="1"/>
    <col min="4610" max="4610" width="21.5703125" style="3" customWidth="1"/>
    <col min="4611" max="4611" width="19.140625" style="3" customWidth="1"/>
    <col min="4612" max="4628" width="9.140625" style="3" customWidth="1"/>
    <col min="4629" max="4864" width="9" style="3"/>
    <col min="4865" max="4865" width="5.140625" style="3" customWidth="1"/>
    <col min="4866" max="4866" width="21.5703125" style="3" customWidth="1"/>
    <col min="4867" max="4867" width="19.140625" style="3" customWidth="1"/>
    <col min="4868" max="4884" width="9.140625" style="3" customWidth="1"/>
    <col min="4885" max="5120" width="9" style="3"/>
    <col min="5121" max="5121" width="5.140625" style="3" customWidth="1"/>
    <col min="5122" max="5122" width="21.5703125" style="3" customWidth="1"/>
    <col min="5123" max="5123" width="19.140625" style="3" customWidth="1"/>
    <col min="5124" max="5140" width="9.140625" style="3" customWidth="1"/>
    <col min="5141" max="5376" width="9" style="3"/>
    <col min="5377" max="5377" width="5.140625" style="3" customWidth="1"/>
    <col min="5378" max="5378" width="21.5703125" style="3" customWidth="1"/>
    <col min="5379" max="5379" width="19.140625" style="3" customWidth="1"/>
    <col min="5380" max="5396" width="9.140625" style="3" customWidth="1"/>
    <col min="5397" max="5632" width="9" style="3"/>
    <col min="5633" max="5633" width="5.140625" style="3" customWidth="1"/>
    <col min="5634" max="5634" width="21.5703125" style="3" customWidth="1"/>
    <col min="5635" max="5635" width="19.140625" style="3" customWidth="1"/>
    <col min="5636" max="5652" width="9.140625" style="3" customWidth="1"/>
    <col min="5653" max="5888" width="9" style="3"/>
    <col min="5889" max="5889" width="5.140625" style="3" customWidth="1"/>
    <col min="5890" max="5890" width="21.5703125" style="3" customWidth="1"/>
    <col min="5891" max="5891" width="19.140625" style="3" customWidth="1"/>
    <col min="5892" max="5908" width="9.140625" style="3" customWidth="1"/>
    <col min="5909" max="6144" width="9" style="3"/>
    <col min="6145" max="6145" width="5.140625" style="3" customWidth="1"/>
    <col min="6146" max="6146" width="21.5703125" style="3" customWidth="1"/>
    <col min="6147" max="6147" width="19.140625" style="3" customWidth="1"/>
    <col min="6148" max="6164" width="9.140625" style="3" customWidth="1"/>
    <col min="6165" max="6400" width="9" style="3"/>
    <col min="6401" max="6401" width="5.140625" style="3" customWidth="1"/>
    <col min="6402" max="6402" width="21.5703125" style="3" customWidth="1"/>
    <col min="6403" max="6403" width="19.140625" style="3" customWidth="1"/>
    <col min="6404" max="6420" width="9.140625" style="3" customWidth="1"/>
    <col min="6421" max="6656" width="9" style="3"/>
    <col min="6657" max="6657" width="5.140625" style="3" customWidth="1"/>
    <col min="6658" max="6658" width="21.5703125" style="3" customWidth="1"/>
    <col min="6659" max="6659" width="19.140625" style="3" customWidth="1"/>
    <col min="6660" max="6676" width="9.140625" style="3" customWidth="1"/>
    <col min="6677" max="6912" width="9" style="3"/>
    <col min="6913" max="6913" width="5.140625" style="3" customWidth="1"/>
    <col min="6914" max="6914" width="21.5703125" style="3" customWidth="1"/>
    <col min="6915" max="6915" width="19.140625" style="3" customWidth="1"/>
    <col min="6916" max="6932" width="9.140625" style="3" customWidth="1"/>
    <col min="6933" max="7168" width="9" style="3"/>
    <col min="7169" max="7169" width="5.140625" style="3" customWidth="1"/>
    <col min="7170" max="7170" width="21.5703125" style="3" customWidth="1"/>
    <col min="7171" max="7171" width="19.140625" style="3" customWidth="1"/>
    <col min="7172" max="7188" width="9.140625" style="3" customWidth="1"/>
    <col min="7189" max="7424" width="9" style="3"/>
    <col min="7425" max="7425" width="5.140625" style="3" customWidth="1"/>
    <col min="7426" max="7426" width="21.5703125" style="3" customWidth="1"/>
    <col min="7427" max="7427" width="19.140625" style="3" customWidth="1"/>
    <col min="7428" max="7444" width="9.140625" style="3" customWidth="1"/>
    <col min="7445" max="7680" width="9" style="3"/>
    <col min="7681" max="7681" width="5.140625" style="3" customWidth="1"/>
    <col min="7682" max="7682" width="21.5703125" style="3" customWidth="1"/>
    <col min="7683" max="7683" width="19.140625" style="3" customWidth="1"/>
    <col min="7684" max="7700" width="9.140625" style="3" customWidth="1"/>
    <col min="7701" max="7936" width="9" style="3"/>
    <col min="7937" max="7937" width="5.140625" style="3" customWidth="1"/>
    <col min="7938" max="7938" width="21.5703125" style="3" customWidth="1"/>
    <col min="7939" max="7939" width="19.140625" style="3" customWidth="1"/>
    <col min="7940" max="7956" width="9.140625" style="3" customWidth="1"/>
    <col min="7957" max="8192" width="9" style="3"/>
    <col min="8193" max="8193" width="5.140625" style="3" customWidth="1"/>
    <col min="8194" max="8194" width="21.5703125" style="3" customWidth="1"/>
    <col min="8195" max="8195" width="19.140625" style="3" customWidth="1"/>
    <col min="8196" max="8212" width="9.140625" style="3" customWidth="1"/>
    <col min="8213" max="8448" width="9" style="3"/>
    <col min="8449" max="8449" width="5.140625" style="3" customWidth="1"/>
    <col min="8450" max="8450" width="21.5703125" style="3" customWidth="1"/>
    <col min="8451" max="8451" width="19.140625" style="3" customWidth="1"/>
    <col min="8452" max="8468" width="9.140625" style="3" customWidth="1"/>
    <col min="8469" max="8704" width="9" style="3"/>
    <col min="8705" max="8705" width="5.140625" style="3" customWidth="1"/>
    <col min="8706" max="8706" width="21.5703125" style="3" customWidth="1"/>
    <col min="8707" max="8707" width="19.140625" style="3" customWidth="1"/>
    <col min="8708" max="8724" width="9.140625" style="3" customWidth="1"/>
    <col min="8725" max="8960" width="9" style="3"/>
    <col min="8961" max="8961" width="5.140625" style="3" customWidth="1"/>
    <col min="8962" max="8962" width="21.5703125" style="3" customWidth="1"/>
    <col min="8963" max="8963" width="19.140625" style="3" customWidth="1"/>
    <col min="8964" max="8980" width="9.140625" style="3" customWidth="1"/>
    <col min="8981" max="9216" width="9" style="3"/>
    <col min="9217" max="9217" width="5.140625" style="3" customWidth="1"/>
    <col min="9218" max="9218" width="21.5703125" style="3" customWidth="1"/>
    <col min="9219" max="9219" width="19.140625" style="3" customWidth="1"/>
    <col min="9220" max="9236" width="9.140625" style="3" customWidth="1"/>
    <col min="9237" max="9472" width="9" style="3"/>
    <col min="9473" max="9473" width="5.140625" style="3" customWidth="1"/>
    <col min="9474" max="9474" width="21.5703125" style="3" customWidth="1"/>
    <col min="9475" max="9475" width="19.140625" style="3" customWidth="1"/>
    <col min="9476" max="9492" width="9.140625" style="3" customWidth="1"/>
    <col min="9493" max="9728" width="9" style="3"/>
    <col min="9729" max="9729" width="5.140625" style="3" customWidth="1"/>
    <col min="9730" max="9730" width="21.5703125" style="3" customWidth="1"/>
    <col min="9731" max="9731" width="19.140625" style="3" customWidth="1"/>
    <col min="9732" max="9748" width="9.140625" style="3" customWidth="1"/>
    <col min="9749" max="9984" width="9" style="3"/>
    <col min="9985" max="9985" width="5.140625" style="3" customWidth="1"/>
    <col min="9986" max="9986" width="21.5703125" style="3" customWidth="1"/>
    <col min="9987" max="9987" width="19.14062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1.5703125" style="3" customWidth="1"/>
    <col min="10243" max="10243" width="19.14062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1.5703125" style="3" customWidth="1"/>
    <col min="10499" max="10499" width="19.14062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1.5703125" style="3" customWidth="1"/>
    <col min="10755" max="10755" width="19.14062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1.5703125" style="3" customWidth="1"/>
    <col min="11011" max="11011" width="19.14062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1.5703125" style="3" customWidth="1"/>
    <col min="11267" max="11267" width="19.14062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1.5703125" style="3" customWidth="1"/>
    <col min="11523" max="11523" width="19.14062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1.5703125" style="3" customWidth="1"/>
    <col min="11779" max="11779" width="19.14062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1.5703125" style="3" customWidth="1"/>
    <col min="12035" max="12035" width="19.14062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1.5703125" style="3" customWidth="1"/>
    <col min="12291" max="12291" width="19.14062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1.5703125" style="3" customWidth="1"/>
    <col min="12547" max="12547" width="19.14062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1.5703125" style="3" customWidth="1"/>
    <col min="12803" max="12803" width="19.14062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1.5703125" style="3" customWidth="1"/>
    <col min="13059" max="13059" width="19.14062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1.5703125" style="3" customWidth="1"/>
    <col min="13315" max="13315" width="19.14062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1.5703125" style="3" customWidth="1"/>
    <col min="13571" max="13571" width="19.14062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1.5703125" style="3" customWidth="1"/>
    <col min="13827" max="13827" width="19.14062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1.5703125" style="3" customWidth="1"/>
    <col min="14083" max="14083" width="19.14062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1.5703125" style="3" customWidth="1"/>
    <col min="14339" max="14339" width="19.14062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1.5703125" style="3" customWidth="1"/>
    <col min="14595" max="14595" width="19.14062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1.5703125" style="3" customWidth="1"/>
    <col min="14851" max="14851" width="19.14062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1.5703125" style="3" customWidth="1"/>
    <col min="15107" max="15107" width="19.14062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1.5703125" style="3" customWidth="1"/>
    <col min="15363" max="15363" width="19.14062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1.5703125" style="3" customWidth="1"/>
    <col min="15619" max="15619" width="19.14062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1.5703125" style="3" customWidth="1"/>
    <col min="15875" max="15875" width="19.14062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1.5703125" style="3" customWidth="1"/>
    <col min="16131" max="16131" width="19.14062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2" ht="159.75" thickBot="1" x14ac:dyDescent="0.3">
      <c r="A2" s="107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</row>
    <row r="3" spans="1:22" x14ac:dyDescent="0.25">
      <c r="A3" s="98" t="s">
        <v>21</v>
      </c>
      <c r="B3" s="14" t="s">
        <v>47</v>
      </c>
      <c r="C3" s="15" t="s">
        <v>48</v>
      </c>
      <c r="D3" s="109"/>
      <c r="E3" s="16"/>
      <c r="F3" s="17"/>
      <c r="G3" s="17"/>
      <c r="H3" s="17">
        <f>100-(82.45-82.45)/82.45*50</f>
        <v>100</v>
      </c>
      <c r="I3" s="17">
        <f>100-(45.85-45.85)/45.85*50</f>
        <v>100</v>
      </c>
      <c r="J3" s="17"/>
      <c r="K3" s="17"/>
      <c r="L3" s="40"/>
      <c r="M3" s="42"/>
      <c r="N3" s="17"/>
      <c r="O3" s="110"/>
      <c r="P3" s="110"/>
      <c r="Q3" s="110"/>
      <c r="R3" s="17"/>
      <c r="S3" s="111"/>
      <c r="T3" s="84">
        <f t="shared" ref="T3:T9" si="0">SUM(D3:S3)</f>
        <v>200</v>
      </c>
    </row>
    <row r="4" spans="1:22" x14ac:dyDescent="0.25">
      <c r="A4" s="105" t="s">
        <v>24</v>
      </c>
      <c r="B4" s="25" t="s">
        <v>87</v>
      </c>
      <c r="C4" s="26" t="s">
        <v>42</v>
      </c>
      <c r="D4" s="34"/>
      <c r="E4" s="42"/>
      <c r="F4" s="42"/>
      <c r="G4" s="82"/>
      <c r="H4" s="23"/>
      <c r="I4" s="23"/>
      <c r="J4" s="19"/>
      <c r="K4" s="19"/>
      <c r="L4" s="43"/>
      <c r="M4" s="43"/>
      <c r="N4" s="23"/>
      <c r="O4" s="23"/>
      <c r="P4" s="19">
        <f>100-(36.4-36.4)/36.4*50</f>
        <v>100</v>
      </c>
      <c r="Q4" s="23"/>
      <c r="R4" s="23"/>
      <c r="S4" s="26"/>
      <c r="T4" s="84">
        <f t="shared" si="0"/>
        <v>100</v>
      </c>
    </row>
    <row r="5" spans="1:22" x14ac:dyDescent="0.25">
      <c r="A5" s="105" t="s">
        <v>24</v>
      </c>
      <c r="B5" s="25" t="s">
        <v>92</v>
      </c>
      <c r="C5" s="26" t="s">
        <v>42</v>
      </c>
      <c r="D5" s="34"/>
      <c r="E5" s="42"/>
      <c r="F5" s="42"/>
      <c r="G5" s="82"/>
      <c r="H5" s="23"/>
      <c r="I5" s="23"/>
      <c r="J5" s="19"/>
      <c r="K5" s="19"/>
      <c r="L5" s="43"/>
      <c r="M5" s="43"/>
      <c r="N5" s="23"/>
      <c r="O5" s="23"/>
      <c r="P5" s="19"/>
      <c r="Q5" s="19">
        <f>100-(81.49-81.49)/81.49*50</f>
        <v>100</v>
      </c>
      <c r="R5" s="23"/>
      <c r="S5" s="26"/>
      <c r="T5" s="84">
        <f t="shared" si="0"/>
        <v>100</v>
      </c>
    </row>
    <row r="6" spans="1:22" x14ac:dyDescent="0.25">
      <c r="A6" s="105" t="s">
        <v>30</v>
      </c>
      <c r="B6" s="25" t="s">
        <v>93</v>
      </c>
      <c r="C6" s="26" t="s">
        <v>42</v>
      </c>
      <c r="D6" s="34"/>
      <c r="E6" s="42"/>
      <c r="F6" s="42"/>
      <c r="G6" s="82"/>
      <c r="H6" s="23"/>
      <c r="I6" s="23"/>
      <c r="J6" s="19"/>
      <c r="K6" s="19"/>
      <c r="L6" s="43"/>
      <c r="M6" s="43"/>
      <c r="N6" s="23"/>
      <c r="O6" s="23"/>
      <c r="P6" s="19">
        <f>100-(42.87-36.4)/36.4*50</f>
        <v>91.112637362637358</v>
      </c>
      <c r="Q6" s="23"/>
      <c r="R6" s="23"/>
      <c r="S6" s="26"/>
      <c r="T6" s="84">
        <f t="shared" si="0"/>
        <v>91.112637362637358</v>
      </c>
    </row>
    <row r="7" spans="1:22" x14ac:dyDescent="0.25">
      <c r="A7" s="105" t="s">
        <v>34</v>
      </c>
      <c r="B7" s="25" t="s">
        <v>91</v>
      </c>
      <c r="C7" s="26" t="s">
        <v>42</v>
      </c>
      <c r="D7" s="34"/>
      <c r="E7" s="42"/>
      <c r="F7" s="42"/>
      <c r="G7" s="82"/>
      <c r="H7" s="23"/>
      <c r="I7" s="23"/>
      <c r="J7" s="19"/>
      <c r="K7" s="19"/>
      <c r="L7" s="43"/>
      <c r="M7" s="43"/>
      <c r="N7" s="23"/>
      <c r="O7" s="23"/>
      <c r="P7" s="19">
        <f>100-(44.72-36.4)/36.4*50</f>
        <v>88.571428571428569</v>
      </c>
      <c r="Q7" s="23"/>
      <c r="R7" s="23"/>
      <c r="S7" s="26"/>
      <c r="T7" s="84">
        <f t="shared" si="0"/>
        <v>88.571428571428569</v>
      </c>
    </row>
    <row r="8" spans="1:22" x14ac:dyDescent="0.25">
      <c r="A8" s="105" t="s">
        <v>37</v>
      </c>
      <c r="B8" s="25" t="s">
        <v>94</v>
      </c>
      <c r="C8" s="26" t="s">
        <v>42</v>
      </c>
      <c r="D8" s="34"/>
      <c r="E8" s="42"/>
      <c r="F8" s="42"/>
      <c r="G8" s="82"/>
      <c r="H8" s="23"/>
      <c r="I8" s="23"/>
      <c r="J8" s="19"/>
      <c r="K8" s="19"/>
      <c r="L8" s="43"/>
      <c r="M8" s="43"/>
      <c r="N8" s="23"/>
      <c r="O8" s="23"/>
      <c r="P8" s="19">
        <f>100-(47.37-36.4)/36.4*50</f>
        <v>84.931318681318686</v>
      </c>
      <c r="Q8" s="23"/>
      <c r="R8" s="23"/>
      <c r="S8" s="26"/>
      <c r="T8" s="84">
        <f t="shared" si="0"/>
        <v>84.931318681318686</v>
      </c>
    </row>
    <row r="9" spans="1:22" ht="15.75" thickBot="1" x14ac:dyDescent="0.3">
      <c r="A9" s="45" t="s">
        <v>40</v>
      </c>
      <c r="B9" s="112" t="s">
        <v>95</v>
      </c>
      <c r="C9" s="113" t="s">
        <v>42</v>
      </c>
      <c r="D9" s="114"/>
      <c r="E9" s="115"/>
      <c r="F9" s="116"/>
      <c r="G9" s="52"/>
      <c r="H9" s="52"/>
      <c r="I9" s="52"/>
      <c r="J9" s="52"/>
      <c r="K9" s="52"/>
      <c r="L9" s="52"/>
      <c r="M9" s="116"/>
      <c r="N9" s="52"/>
      <c r="O9" s="116"/>
      <c r="P9" s="52">
        <f>100-(63.58-36.4)/36.4*50</f>
        <v>62.664835164835168</v>
      </c>
      <c r="Q9" s="116"/>
      <c r="R9" s="116"/>
      <c r="S9" s="117"/>
      <c r="T9" s="54">
        <f t="shared" si="0"/>
        <v>62.664835164835168</v>
      </c>
    </row>
    <row r="10" spans="1:22" x14ac:dyDescent="0.25">
      <c r="A10" s="2"/>
      <c r="B10" s="2"/>
      <c r="C10" s="2"/>
      <c r="D10" s="55"/>
      <c r="E10" s="55"/>
      <c r="F10" s="56"/>
      <c r="G10" s="55"/>
      <c r="H10" s="55"/>
      <c r="I10" s="55"/>
      <c r="J10" s="55"/>
      <c r="K10" s="55"/>
      <c r="L10" s="55"/>
      <c r="M10" s="56"/>
      <c r="N10" s="55"/>
      <c r="O10" s="56"/>
      <c r="P10" s="56"/>
      <c r="Q10" s="56"/>
      <c r="R10" s="56"/>
      <c r="S10" s="55"/>
      <c r="T10" s="58"/>
    </row>
    <row r="11" spans="1:22" x14ac:dyDescent="0.25">
      <c r="A11" s="2"/>
      <c r="B11" s="2"/>
      <c r="C11" s="2"/>
      <c r="D11" s="55"/>
      <c r="E11" s="55"/>
      <c r="F11" s="56"/>
      <c r="G11" s="55"/>
      <c r="H11" s="55"/>
      <c r="I11" s="55"/>
      <c r="J11" s="55"/>
      <c r="K11" s="55"/>
      <c r="L11" s="55"/>
      <c r="M11" s="56"/>
      <c r="N11" s="55"/>
      <c r="O11" s="56"/>
      <c r="P11" s="56"/>
      <c r="Q11" s="56"/>
      <c r="R11" s="56"/>
      <c r="S11" s="55"/>
      <c r="T11" s="58"/>
    </row>
    <row r="12" spans="1:22" x14ac:dyDescent="0.25">
      <c r="A12" s="2"/>
      <c r="B12" s="2"/>
      <c r="C12" s="2"/>
      <c r="D12" s="59"/>
      <c r="E12" s="2"/>
      <c r="F12" s="59"/>
      <c r="G12" s="2"/>
      <c r="H12" s="2"/>
      <c r="I12" s="2"/>
      <c r="J12" s="59"/>
      <c r="K12" s="59"/>
      <c r="L12" s="2"/>
      <c r="M12" s="108"/>
      <c r="N12" s="2"/>
      <c r="O12" s="2"/>
      <c r="P12" s="2"/>
      <c r="Q12" s="2"/>
      <c r="R12" s="2"/>
      <c r="S12" s="2"/>
      <c r="T12" s="2"/>
    </row>
    <row r="13" spans="1:22" s="60" customFormat="1" x14ac:dyDescent="0.25">
      <c r="A13" s="60" t="s">
        <v>68</v>
      </c>
    </row>
    <row r="14" spans="1:22" s="61" customFormat="1" x14ac:dyDescent="0.25">
      <c r="A14" s="61" t="s">
        <v>69</v>
      </c>
    </row>
    <row r="15" spans="1:22" x14ac:dyDescent="0.25">
      <c r="A15" s="2"/>
      <c r="B15" s="2"/>
      <c r="C15" s="2"/>
      <c r="D15" s="2"/>
      <c r="E15" s="2"/>
      <c r="F15" s="59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2" x14ac:dyDescent="0.25">
      <c r="A16" s="2"/>
      <c r="B16" s="2"/>
      <c r="C16" s="2"/>
      <c r="D16" s="2"/>
      <c r="E16" s="2"/>
      <c r="F16" s="5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2"/>
      <c r="B17" s="2"/>
      <c r="C17" s="2"/>
      <c r="D17" s="2"/>
      <c r="E17" s="2"/>
      <c r="F17" s="5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2"/>
      <c r="B18" s="2"/>
      <c r="C18" s="2"/>
      <c r="D18" s="2"/>
      <c r="E18" s="2"/>
      <c r="F18" s="5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/>
      <c r="B19" s="2"/>
      <c r="C19" s="2"/>
      <c r="D19" s="2"/>
      <c r="E19" s="2"/>
      <c r="F19" s="5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2"/>
      <c r="B20" s="2"/>
      <c r="C20" s="2"/>
      <c r="D20" s="2"/>
      <c r="E20" s="2"/>
      <c r="F20" s="5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s="2" customFormat="1" x14ac:dyDescent="0.25">
      <c r="F21" s="59"/>
    </row>
    <row r="22" spans="1:20" s="2" customFormat="1" x14ac:dyDescent="0.25">
      <c r="F22" s="59"/>
    </row>
    <row r="23" spans="1:20" s="2" customFormat="1" x14ac:dyDescent="0.25">
      <c r="F23" s="59"/>
    </row>
    <row r="24" spans="1:20" s="2" customFormat="1" x14ac:dyDescent="0.25">
      <c r="F24" s="59"/>
    </row>
    <row r="25" spans="1:20" s="2" customFormat="1" x14ac:dyDescent="0.25">
      <c r="F25" s="59"/>
    </row>
    <row r="26" spans="1:20" s="2" customFormat="1" x14ac:dyDescent="0.25">
      <c r="F26" s="59"/>
    </row>
    <row r="27" spans="1:20" s="2" customFormat="1" x14ac:dyDescent="0.25">
      <c r="F27" s="59"/>
    </row>
    <row r="28" spans="1:20" s="2" customFormat="1" x14ac:dyDescent="0.25">
      <c r="F28" s="59"/>
    </row>
    <row r="29" spans="1:20" s="2" customFormat="1" x14ac:dyDescent="0.25">
      <c r="F29" s="59"/>
    </row>
    <row r="30" spans="1:20" s="2" customFormat="1" x14ac:dyDescent="0.25">
      <c r="F30" s="59"/>
    </row>
    <row r="31" spans="1:20" s="2" customFormat="1" x14ac:dyDescent="0.25">
      <c r="F31" s="59"/>
    </row>
    <row r="32" spans="1:20" s="2" customFormat="1" x14ac:dyDescent="0.25">
      <c r="F32" s="59"/>
    </row>
    <row r="33" spans="6:6" s="2" customFormat="1" x14ac:dyDescent="0.25">
      <c r="F33" s="59"/>
    </row>
    <row r="34" spans="6:6" s="2" customFormat="1" x14ac:dyDescent="0.25">
      <c r="F34" s="59"/>
    </row>
    <row r="35" spans="6:6" s="2" customFormat="1" x14ac:dyDescent="0.25">
      <c r="F35" s="59"/>
    </row>
    <row r="36" spans="6:6" s="2" customFormat="1" x14ac:dyDescent="0.25">
      <c r="F36" s="59"/>
    </row>
    <row r="37" spans="6:6" s="2" customFormat="1" x14ac:dyDescent="0.25">
      <c r="F37" s="59"/>
    </row>
    <row r="38" spans="6:6" s="2" customFormat="1" x14ac:dyDescent="0.25">
      <c r="F38" s="59"/>
    </row>
  </sheetData>
  <mergeCells count="1">
    <mergeCell ref="A1:T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workbookViewId="0">
      <selection activeCell="R13" sqref="R13"/>
    </sheetView>
  </sheetViews>
  <sheetFormatPr defaultColWidth="9" defaultRowHeight="15" x14ac:dyDescent="0.25"/>
  <cols>
    <col min="1" max="1" width="5.140625" style="3" customWidth="1"/>
    <col min="2" max="2" width="25.85546875" style="3" customWidth="1"/>
    <col min="3" max="3" width="11.85546875" style="3" customWidth="1"/>
    <col min="4" max="5" width="9.140625" style="3" customWidth="1"/>
    <col min="6" max="6" width="9.140625" style="62" customWidth="1"/>
    <col min="7" max="20" width="9.140625" style="3" customWidth="1"/>
    <col min="21" max="30" width="9" style="2"/>
    <col min="31" max="256" width="9" style="3"/>
    <col min="257" max="257" width="5.140625" style="3" customWidth="1"/>
    <col min="258" max="258" width="25.85546875" style="3" customWidth="1"/>
    <col min="259" max="259" width="11.85546875" style="3" customWidth="1"/>
    <col min="260" max="276" width="9.140625" style="3" customWidth="1"/>
    <col min="277" max="512" width="9" style="3"/>
    <col min="513" max="513" width="5.140625" style="3" customWidth="1"/>
    <col min="514" max="514" width="25.85546875" style="3" customWidth="1"/>
    <col min="515" max="515" width="11.85546875" style="3" customWidth="1"/>
    <col min="516" max="532" width="9.140625" style="3" customWidth="1"/>
    <col min="533" max="768" width="9" style="3"/>
    <col min="769" max="769" width="5.140625" style="3" customWidth="1"/>
    <col min="770" max="770" width="25.85546875" style="3" customWidth="1"/>
    <col min="771" max="771" width="11.85546875" style="3" customWidth="1"/>
    <col min="772" max="788" width="9.140625" style="3" customWidth="1"/>
    <col min="789" max="1024" width="9" style="3"/>
    <col min="1025" max="1025" width="5.140625" style="3" customWidth="1"/>
    <col min="1026" max="1026" width="25.85546875" style="3" customWidth="1"/>
    <col min="1027" max="1027" width="11.85546875" style="3" customWidth="1"/>
    <col min="1028" max="1044" width="9.140625" style="3" customWidth="1"/>
    <col min="1045" max="1280" width="9" style="3"/>
    <col min="1281" max="1281" width="5.140625" style="3" customWidth="1"/>
    <col min="1282" max="1282" width="25.85546875" style="3" customWidth="1"/>
    <col min="1283" max="1283" width="11.85546875" style="3" customWidth="1"/>
    <col min="1284" max="1300" width="9.140625" style="3" customWidth="1"/>
    <col min="1301" max="1536" width="9" style="3"/>
    <col min="1537" max="1537" width="5.140625" style="3" customWidth="1"/>
    <col min="1538" max="1538" width="25.85546875" style="3" customWidth="1"/>
    <col min="1539" max="1539" width="11.85546875" style="3" customWidth="1"/>
    <col min="1540" max="1556" width="9.140625" style="3" customWidth="1"/>
    <col min="1557" max="1792" width="9" style="3"/>
    <col min="1793" max="1793" width="5.140625" style="3" customWidth="1"/>
    <col min="1794" max="1794" width="25.85546875" style="3" customWidth="1"/>
    <col min="1795" max="1795" width="11.85546875" style="3" customWidth="1"/>
    <col min="1796" max="1812" width="9.140625" style="3" customWidth="1"/>
    <col min="1813" max="2048" width="9" style="3"/>
    <col min="2049" max="2049" width="5.140625" style="3" customWidth="1"/>
    <col min="2050" max="2050" width="25.85546875" style="3" customWidth="1"/>
    <col min="2051" max="2051" width="11.85546875" style="3" customWidth="1"/>
    <col min="2052" max="2068" width="9.140625" style="3" customWidth="1"/>
    <col min="2069" max="2304" width="9" style="3"/>
    <col min="2305" max="2305" width="5.140625" style="3" customWidth="1"/>
    <col min="2306" max="2306" width="25.85546875" style="3" customWidth="1"/>
    <col min="2307" max="2307" width="11.85546875" style="3" customWidth="1"/>
    <col min="2308" max="2324" width="9.140625" style="3" customWidth="1"/>
    <col min="2325" max="2560" width="9" style="3"/>
    <col min="2561" max="2561" width="5.140625" style="3" customWidth="1"/>
    <col min="2562" max="2562" width="25.85546875" style="3" customWidth="1"/>
    <col min="2563" max="2563" width="11.85546875" style="3" customWidth="1"/>
    <col min="2564" max="2580" width="9.140625" style="3" customWidth="1"/>
    <col min="2581" max="2816" width="9" style="3"/>
    <col min="2817" max="2817" width="5.140625" style="3" customWidth="1"/>
    <col min="2818" max="2818" width="25.85546875" style="3" customWidth="1"/>
    <col min="2819" max="2819" width="11.85546875" style="3" customWidth="1"/>
    <col min="2820" max="2836" width="9.140625" style="3" customWidth="1"/>
    <col min="2837" max="3072" width="9" style="3"/>
    <col min="3073" max="3073" width="5.140625" style="3" customWidth="1"/>
    <col min="3074" max="3074" width="25.85546875" style="3" customWidth="1"/>
    <col min="3075" max="3075" width="11.85546875" style="3" customWidth="1"/>
    <col min="3076" max="3092" width="9.140625" style="3" customWidth="1"/>
    <col min="3093" max="3328" width="9" style="3"/>
    <col min="3329" max="3329" width="5.140625" style="3" customWidth="1"/>
    <col min="3330" max="3330" width="25.85546875" style="3" customWidth="1"/>
    <col min="3331" max="3331" width="11.85546875" style="3" customWidth="1"/>
    <col min="3332" max="3348" width="9.140625" style="3" customWidth="1"/>
    <col min="3349" max="3584" width="9" style="3"/>
    <col min="3585" max="3585" width="5.140625" style="3" customWidth="1"/>
    <col min="3586" max="3586" width="25.85546875" style="3" customWidth="1"/>
    <col min="3587" max="3587" width="11.85546875" style="3" customWidth="1"/>
    <col min="3588" max="3604" width="9.140625" style="3" customWidth="1"/>
    <col min="3605" max="3840" width="9" style="3"/>
    <col min="3841" max="3841" width="5.140625" style="3" customWidth="1"/>
    <col min="3842" max="3842" width="25.85546875" style="3" customWidth="1"/>
    <col min="3843" max="3843" width="11.85546875" style="3" customWidth="1"/>
    <col min="3844" max="3860" width="9.140625" style="3" customWidth="1"/>
    <col min="3861" max="4096" width="9" style="3"/>
    <col min="4097" max="4097" width="5.140625" style="3" customWidth="1"/>
    <col min="4098" max="4098" width="25.85546875" style="3" customWidth="1"/>
    <col min="4099" max="4099" width="11.85546875" style="3" customWidth="1"/>
    <col min="4100" max="4116" width="9.140625" style="3" customWidth="1"/>
    <col min="4117" max="4352" width="9" style="3"/>
    <col min="4353" max="4353" width="5.140625" style="3" customWidth="1"/>
    <col min="4354" max="4354" width="25.85546875" style="3" customWidth="1"/>
    <col min="4355" max="4355" width="11.85546875" style="3" customWidth="1"/>
    <col min="4356" max="4372" width="9.140625" style="3" customWidth="1"/>
    <col min="4373" max="4608" width="9" style="3"/>
    <col min="4609" max="4609" width="5.140625" style="3" customWidth="1"/>
    <col min="4610" max="4610" width="25.85546875" style="3" customWidth="1"/>
    <col min="4611" max="4611" width="11.85546875" style="3" customWidth="1"/>
    <col min="4612" max="4628" width="9.140625" style="3" customWidth="1"/>
    <col min="4629" max="4864" width="9" style="3"/>
    <col min="4865" max="4865" width="5.140625" style="3" customWidth="1"/>
    <col min="4866" max="4866" width="25.85546875" style="3" customWidth="1"/>
    <col min="4867" max="4867" width="11.85546875" style="3" customWidth="1"/>
    <col min="4868" max="4884" width="9.140625" style="3" customWidth="1"/>
    <col min="4885" max="5120" width="9" style="3"/>
    <col min="5121" max="5121" width="5.140625" style="3" customWidth="1"/>
    <col min="5122" max="5122" width="25.85546875" style="3" customWidth="1"/>
    <col min="5123" max="5123" width="11.85546875" style="3" customWidth="1"/>
    <col min="5124" max="5140" width="9.140625" style="3" customWidth="1"/>
    <col min="5141" max="5376" width="9" style="3"/>
    <col min="5377" max="5377" width="5.140625" style="3" customWidth="1"/>
    <col min="5378" max="5378" width="25.85546875" style="3" customWidth="1"/>
    <col min="5379" max="5379" width="11.85546875" style="3" customWidth="1"/>
    <col min="5380" max="5396" width="9.140625" style="3" customWidth="1"/>
    <col min="5397" max="5632" width="9" style="3"/>
    <col min="5633" max="5633" width="5.140625" style="3" customWidth="1"/>
    <col min="5634" max="5634" width="25.85546875" style="3" customWidth="1"/>
    <col min="5635" max="5635" width="11.85546875" style="3" customWidth="1"/>
    <col min="5636" max="5652" width="9.140625" style="3" customWidth="1"/>
    <col min="5653" max="5888" width="9" style="3"/>
    <col min="5889" max="5889" width="5.140625" style="3" customWidth="1"/>
    <col min="5890" max="5890" width="25.85546875" style="3" customWidth="1"/>
    <col min="5891" max="5891" width="11.85546875" style="3" customWidth="1"/>
    <col min="5892" max="5908" width="9.140625" style="3" customWidth="1"/>
    <col min="5909" max="6144" width="9" style="3"/>
    <col min="6145" max="6145" width="5.140625" style="3" customWidth="1"/>
    <col min="6146" max="6146" width="25.85546875" style="3" customWidth="1"/>
    <col min="6147" max="6147" width="11.85546875" style="3" customWidth="1"/>
    <col min="6148" max="6164" width="9.140625" style="3" customWidth="1"/>
    <col min="6165" max="6400" width="9" style="3"/>
    <col min="6401" max="6401" width="5.140625" style="3" customWidth="1"/>
    <col min="6402" max="6402" width="25.85546875" style="3" customWidth="1"/>
    <col min="6403" max="6403" width="11.85546875" style="3" customWidth="1"/>
    <col min="6404" max="6420" width="9.140625" style="3" customWidth="1"/>
    <col min="6421" max="6656" width="9" style="3"/>
    <col min="6657" max="6657" width="5.140625" style="3" customWidth="1"/>
    <col min="6658" max="6658" width="25.85546875" style="3" customWidth="1"/>
    <col min="6659" max="6659" width="11.85546875" style="3" customWidth="1"/>
    <col min="6660" max="6676" width="9.140625" style="3" customWidth="1"/>
    <col min="6677" max="6912" width="9" style="3"/>
    <col min="6913" max="6913" width="5.140625" style="3" customWidth="1"/>
    <col min="6914" max="6914" width="25.85546875" style="3" customWidth="1"/>
    <col min="6915" max="6915" width="11.85546875" style="3" customWidth="1"/>
    <col min="6916" max="6932" width="9.140625" style="3" customWidth="1"/>
    <col min="6933" max="7168" width="9" style="3"/>
    <col min="7169" max="7169" width="5.140625" style="3" customWidth="1"/>
    <col min="7170" max="7170" width="25.85546875" style="3" customWidth="1"/>
    <col min="7171" max="7171" width="11.85546875" style="3" customWidth="1"/>
    <col min="7172" max="7188" width="9.140625" style="3" customWidth="1"/>
    <col min="7189" max="7424" width="9" style="3"/>
    <col min="7425" max="7425" width="5.140625" style="3" customWidth="1"/>
    <col min="7426" max="7426" width="25.85546875" style="3" customWidth="1"/>
    <col min="7427" max="7427" width="11.85546875" style="3" customWidth="1"/>
    <col min="7428" max="7444" width="9.140625" style="3" customWidth="1"/>
    <col min="7445" max="7680" width="9" style="3"/>
    <col min="7681" max="7681" width="5.140625" style="3" customWidth="1"/>
    <col min="7682" max="7682" width="25.85546875" style="3" customWidth="1"/>
    <col min="7683" max="7683" width="11.85546875" style="3" customWidth="1"/>
    <col min="7684" max="7700" width="9.140625" style="3" customWidth="1"/>
    <col min="7701" max="7936" width="9" style="3"/>
    <col min="7937" max="7937" width="5.140625" style="3" customWidth="1"/>
    <col min="7938" max="7938" width="25.85546875" style="3" customWidth="1"/>
    <col min="7939" max="7939" width="11.85546875" style="3" customWidth="1"/>
    <col min="7940" max="7956" width="9.140625" style="3" customWidth="1"/>
    <col min="7957" max="8192" width="9" style="3"/>
    <col min="8193" max="8193" width="5.140625" style="3" customWidth="1"/>
    <col min="8194" max="8194" width="25.85546875" style="3" customWidth="1"/>
    <col min="8195" max="8195" width="11.85546875" style="3" customWidth="1"/>
    <col min="8196" max="8212" width="9.140625" style="3" customWidth="1"/>
    <col min="8213" max="8448" width="9" style="3"/>
    <col min="8449" max="8449" width="5.140625" style="3" customWidth="1"/>
    <col min="8450" max="8450" width="25.85546875" style="3" customWidth="1"/>
    <col min="8451" max="8451" width="11.85546875" style="3" customWidth="1"/>
    <col min="8452" max="8468" width="9.140625" style="3" customWidth="1"/>
    <col min="8469" max="8704" width="9" style="3"/>
    <col min="8705" max="8705" width="5.140625" style="3" customWidth="1"/>
    <col min="8706" max="8706" width="25.85546875" style="3" customWidth="1"/>
    <col min="8707" max="8707" width="11.85546875" style="3" customWidth="1"/>
    <col min="8708" max="8724" width="9.140625" style="3" customWidth="1"/>
    <col min="8725" max="8960" width="9" style="3"/>
    <col min="8961" max="8961" width="5.140625" style="3" customWidth="1"/>
    <col min="8962" max="8962" width="25.85546875" style="3" customWidth="1"/>
    <col min="8963" max="8963" width="11.85546875" style="3" customWidth="1"/>
    <col min="8964" max="8980" width="9.140625" style="3" customWidth="1"/>
    <col min="8981" max="9216" width="9" style="3"/>
    <col min="9217" max="9217" width="5.140625" style="3" customWidth="1"/>
    <col min="9218" max="9218" width="25.85546875" style="3" customWidth="1"/>
    <col min="9219" max="9219" width="11.85546875" style="3" customWidth="1"/>
    <col min="9220" max="9236" width="9.140625" style="3" customWidth="1"/>
    <col min="9237" max="9472" width="9" style="3"/>
    <col min="9473" max="9473" width="5.140625" style="3" customWidth="1"/>
    <col min="9474" max="9474" width="25.85546875" style="3" customWidth="1"/>
    <col min="9475" max="9475" width="11.85546875" style="3" customWidth="1"/>
    <col min="9476" max="9492" width="9.140625" style="3" customWidth="1"/>
    <col min="9493" max="9728" width="9" style="3"/>
    <col min="9729" max="9729" width="5.140625" style="3" customWidth="1"/>
    <col min="9730" max="9730" width="25.85546875" style="3" customWidth="1"/>
    <col min="9731" max="9731" width="11.85546875" style="3" customWidth="1"/>
    <col min="9732" max="9748" width="9.140625" style="3" customWidth="1"/>
    <col min="9749" max="9984" width="9" style="3"/>
    <col min="9985" max="9985" width="5.140625" style="3" customWidth="1"/>
    <col min="9986" max="9986" width="25.85546875" style="3" customWidth="1"/>
    <col min="9987" max="9987" width="11.85546875" style="3" customWidth="1"/>
    <col min="9988" max="10004" width="9.140625" style="3" customWidth="1"/>
    <col min="10005" max="10240" width="9" style="3"/>
    <col min="10241" max="10241" width="5.140625" style="3" customWidth="1"/>
    <col min="10242" max="10242" width="25.85546875" style="3" customWidth="1"/>
    <col min="10243" max="10243" width="11.85546875" style="3" customWidth="1"/>
    <col min="10244" max="10260" width="9.140625" style="3" customWidth="1"/>
    <col min="10261" max="10496" width="9" style="3"/>
    <col min="10497" max="10497" width="5.140625" style="3" customWidth="1"/>
    <col min="10498" max="10498" width="25.85546875" style="3" customWidth="1"/>
    <col min="10499" max="10499" width="11.85546875" style="3" customWidth="1"/>
    <col min="10500" max="10516" width="9.140625" style="3" customWidth="1"/>
    <col min="10517" max="10752" width="9" style="3"/>
    <col min="10753" max="10753" width="5.140625" style="3" customWidth="1"/>
    <col min="10754" max="10754" width="25.85546875" style="3" customWidth="1"/>
    <col min="10755" max="10755" width="11.85546875" style="3" customWidth="1"/>
    <col min="10756" max="10772" width="9.140625" style="3" customWidth="1"/>
    <col min="10773" max="11008" width="9" style="3"/>
    <col min="11009" max="11009" width="5.140625" style="3" customWidth="1"/>
    <col min="11010" max="11010" width="25.85546875" style="3" customWidth="1"/>
    <col min="11011" max="11011" width="11.85546875" style="3" customWidth="1"/>
    <col min="11012" max="11028" width="9.140625" style="3" customWidth="1"/>
    <col min="11029" max="11264" width="9" style="3"/>
    <col min="11265" max="11265" width="5.140625" style="3" customWidth="1"/>
    <col min="11266" max="11266" width="25.85546875" style="3" customWidth="1"/>
    <col min="11267" max="11267" width="11.85546875" style="3" customWidth="1"/>
    <col min="11268" max="11284" width="9.140625" style="3" customWidth="1"/>
    <col min="11285" max="11520" width="9" style="3"/>
    <col min="11521" max="11521" width="5.140625" style="3" customWidth="1"/>
    <col min="11522" max="11522" width="25.85546875" style="3" customWidth="1"/>
    <col min="11523" max="11523" width="11.85546875" style="3" customWidth="1"/>
    <col min="11524" max="11540" width="9.140625" style="3" customWidth="1"/>
    <col min="11541" max="11776" width="9" style="3"/>
    <col min="11777" max="11777" width="5.140625" style="3" customWidth="1"/>
    <col min="11778" max="11778" width="25.85546875" style="3" customWidth="1"/>
    <col min="11779" max="11779" width="11.85546875" style="3" customWidth="1"/>
    <col min="11780" max="11796" width="9.140625" style="3" customWidth="1"/>
    <col min="11797" max="12032" width="9" style="3"/>
    <col min="12033" max="12033" width="5.140625" style="3" customWidth="1"/>
    <col min="12034" max="12034" width="25.85546875" style="3" customWidth="1"/>
    <col min="12035" max="12035" width="11.85546875" style="3" customWidth="1"/>
    <col min="12036" max="12052" width="9.140625" style="3" customWidth="1"/>
    <col min="12053" max="12288" width="9" style="3"/>
    <col min="12289" max="12289" width="5.140625" style="3" customWidth="1"/>
    <col min="12290" max="12290" width="25.85546875" style="3" customWidth="1"/>
    <col min="12291" max="12291" width="11.85546875" style="3" customWidth="1"/>
    <col min="12292" max="12308" width="9.140625" style="3" customWidth="1"/>
    <col min="12309" max="12544" width="9" style="3"/>
    <col min="12545" max="12545" width="5.140625" style="3" customWidth="1"/>
    <col min="12546" max="12546" width="25.85546875" style="3" customWidth="1"/>
    <col min="12547" max="12547" width="11.85546875" style="3" customWidth="1"/>
    <col min="12548" max="12564" width="9.140625" style="3" customWidth="1"/>
    <col min="12565" max="12800" width="9" style="3"/>
    <col min="12801" max="12801" width="5.140625" style="3" customWidth="1"/>
    <col min="12802" max="12802" width="25.85546875" style="3" customWidth="1"/>
    <col min="12803" max="12803" width="11.85546875" style="3" customWidth="1"/>
    <col min="12804" max="12820" width="9.140625" style="3" customWidth="1"/>
    <col min="12821" max="13056" width="9" style="3"/>
    <col min="13057" max="13057" width="5.140625" style="3" customWidth="1"/>
    <col min="13058" max="13058" width="25.85546875" style="3" customWidth="1"/>
    <col min="13059" max="13059" width="11.85546875" style="3" customWidth="1"/>
    <col min="13060" max="13076" width="9.140625" style="3" customWidth="1"/>
    <col min="13077" max="13312" width="9" style="3"/>
    <col min="13313" max="13313" width="5.140625" style="3" customWidth="1"/>
    <col min="13314" max="13314" width="25.85546875" style="3" customWidth="1"/>
    <col min="13315" max="13315" width="11.85546875" style="3" customWidth="1"/>
    <col min="13316" max="13332" width="9.140625" style="3" customWidth="1"/>
    <col min="13333" max="13568" width="9" style="3"/>
    <col min="13569" max="13569" width="5.140625" style="3" customWidth="1"/>
    <col min="13570" max="13570" width="25.85546875" style="3" customWidth="1"/>
    <col min="13571" max="13571" width="11.85546875" style="3" customWidth="1"/>
    <col min="13572" max="13588" width="9.140625" style="3" customWidth="1"/>
    <col min="13589" max="13824" width="9" style="3"/>
    <col min="13825" max="13825" width="5.140625" style="3" customWidth="1"/>
    <col min="13826" max="13826" width="25.85546875" style="3" customWidth="1"/>
    <col min="13827" max="13827" width="11.85546875" style="3" customWidth="1"/>
    <col min="13828" max="13844" width="9.140625" style="3" customWidth="1"/>
    <col min="13845" max="14080" width="9" style="3"/>
    <col min="14081" max="14081" width="5.140625" style="3" customWidth="1"/>
    <col min="14082" max="14082" width="25.85546875" style="3" customWidth="1"/>
    <col min="14083" max="14083" width="11.85546875" style="3" customWidth="1"/>
    <col min="14084" max="14100" width="9.140625" style="3" customWidth="1"/>
    <col min="14101" max="14336" width="9" style="3"/>
    <col min="14337" max="14337" width="5.140625" style="3" customWidth="1"/>
    <col min="14338" max="14338" width="25.85546875" style="3" customWidth="1"/>
    <col min="14339" max="14339" width="11.85546875" style="3" customWidth="1"/>
    <col min="14340" max="14356" width="9.140625" style="3" customWidth="1"/>
    <col min="14357" max="14592" width="9" style="3"/>
    <col min="14593" max="14593" width="5.140625" style="3" customWidth="1"/>
    <col min="14594" max="14594" width="25.85546875" style="3" customWidth="1"/>
    <col min="14595" max="14595" width="11.85546875" style="3" customWidth="1"/>
    <col min="14596" max="14612" width="9.140625" style="3" customWidth="1"/>
    <col min="14613" max="14848" width="9" style="3"/>
    <col min="14849" max="14849" width="5.140625" style="3" customWidth="1"/>
    <col min="14850" max="14850" width="25.85546875" style="3" customWidth="1"/>
    <col min="14851" max="14851" width="11.85546875" style="3" customWidth="1"/>
    <col min="14852" max="14868" width="9.140625" style="3" customWidth="1"/>
    <col min="14869" max="15104" width="9" style="3"/>
    <col min="15105" max="15105" width="5.140625" style="3" customWidth="1"/>
    <col min="15106" max="15106" width="25.85546875" style="3" customWidth="1"/>
    <col min="15107" max="15107" width="11.85546875" style="3" customWidth="1"/>
    <col min="15108" max="15124" width="9.140625" style="3" customWidth="1"/>
    <col min="15125" max="15360" width="9" style="3"/>
    <col min="15361" max="15361" width="5.140625" style="3" customWidth="1"/>
    <col min="15362" max="15362" width="25.85546875" style="3" customWidth="1"/>
    <col min="15363" max="15363" width="11.85546875" style="3" customWidth="1"/>
    <col min="15364" max="15380" width="9.140625" style="3" customWidth="1"/>
    <col min="15381" max="15616" width="9" style="3"/>
    <col min="15617" max="15617" width="5.140625" style="3" customWidth="1"/>
    <col min="15618" max="15618" width="25.85546875" style="3" customWidth="1"/>
    <col min="15619" max="15619" width="11.85546875" style="3" customWidth="1"/>
    <col min="15620" max="15636" width="9.140625" style="3" customWidth="1"/>
    <col min="15637" max="15872" width="9" style="3"/>
    <col min="15873" max="15873" width="5.140625" style="3" customWidth="1"/>
    <col min="15874" max="15874" width="25.85546875" style="3" customWidth="1"/>
    <col min="15875" max="15875" width="11.85546875" style="3" customWidth="1"/>
    <col min="15876" max="15892" width="9.140625" style="3" customWidth="1"/>
    <col min="15893" max="16128" width="9" style="3"/>
    <col min="16129" max="16129" width="5.140625" style="3" customWidth="1"/>
    <col min="16130" max="16130" width="25.85546875" style="3" customWidth="1"/>
    <col min="16131" max="16131" width="11.85546875" style="3" customWidth="1"/>
    <col min="16132" max="16148" width="9.140625" style="3" customWidth="1"/>
    <col min="16149" max="16384" width="9" style="3"/>
  </cols>
  <sheetData>
    <row r="1" spans="1:22" ht="34.5" thickBot="1" x14ac:dyDescent="0.3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"/>
      <c r="V1" s="1"/>
    </row>
    <row r="2" spans="1:22" ht="159.75" thickBot="1" x14ac:dyDescent="0.3">
      <c r="A2" s="10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7" t="s">
        <v>18</v>
      </c>
      <c r="S2" s="7" t="s">
        <v>19</v>
      </c>
      <c r="T2" s="9" t="s">
        <v>20</v>
      </c>
      <c r="U2" s="10"/>
      <c r="V2" s="10"/>
    </row>
    <row r="3" spans="1:22" x14ac:dyDescent="0.25">
      <c r="A3" s="98" t="s">
        <v>21</v>
      </c>
      <c r="B3" s="14" t="s">
        <v>96</v>
      </c>
      <c r="C3" s="15" t="s">
        <v>97</v>
      </c>
      <c r="D3" s="16">
        <f>100-(65.43-65.43)/65.43*50</f>
        <v>100</v>
      </c>
      <c r="E3" s="118"/>
      <c r="F3" s="110"/>
      <c r="G3" s="17"/>
      <c r="H3" s="17"/>
      <c r="I3" s="17"/>
      <c r="J3" s="16"/>
      <c r="K3" s="17"/>
      <c r="L3" s="16">
        <f>100-(29.4-29.4)/29.4*50</f>
        <v>100</v>
      </c>
      <c r="M3" s="16">
        <f>100-(68.88-68.88)/68.88*50</f>
        <v>100</v>
      </c>
      <c r="N3" s="16">
        <f>100-(45.1-45.1)/45.1*50</f>
        <v>100</v>
      </c>
      <c r="O3" s="16">
        <f>100-(102.25-102.25)/102.25*50</f>
        <v>100</v>
      </c>
      <c r="P3" s="122" t="s">
        <v>33</v>
      </c>
      <c r="Q3" s="16">
        <f>100-(44.1-44.1)/44.1*50</f>
        <v>100</v>
      </c>
      <c r="R3" s="17">
        <f>100-(66.4-66.4)/66.4*50</f>
        <v>100</v>
      </c>
      <c r="S3" s="170">
        <f>100-(69.85-69.85)/69.85*50</f>
        <v>100</v>
      </c>
      <c r="T3" s="119">
        <f>SUM(D3:S3)-S3</f>
        <v>700</v>
      </c>
    </row>
    <row r="4" spans="1:22" x14ac:dyDescent="0.25">
      <c r="A4" s="105" t="s">
        <v>24</v>
      </c>
      <c r="B4" s="25" t="s">
        <v>98</v>
      </c>
      <c r="C4" s="26" t="s">
        <v>45</v>
      </c>
      <c r="D4" s="43"/>
      <c r="E4" s="32"/>
      <c r="F4" s="21"/>
      <c r="G4" s="21"/>
      <c r="H4" s="23"/>
      <c r="I4" s="23"/>
      <c r="J4" s="43"/>
      <c r="K4" s="21">
        <f>100-(74.37-74.37)/74.37*50</f>
        <v>100</v>
      </c>
      <c r="L4" s="19"/>
      <c r="M4" s="19"/>
      <c r="N4" s="19">
        <f>100-(66.03-45.1)/45.1*50</f>
        <v>76.796008869179602</v>
      </c>
      <c r="O4" s="19">
        <f>100-(137.58-102.25)/102.25*50</f>
        <v>82.723716381418086</v>
      </c>
      <c r="P4" s="120" t="s">
        <v>33</v>
      </c>
      <c r="Q4" s="19">
        <f>100-(65.78-44.1)/44.1*50</f>
        <v>75.419501133786852</v>
      </c>
      <c r="R4" s="21">
        <f>100-(109.5-66.4)/66.4*50</f>
        <v>67.545180722891573</v>
      </c>
      <c r="S4" s="27">
        <f>100-(84.58-69.85)/69.85*50</f>
        <v>89.455977093772361</v>
      </c>
      <c r="T4" s="28">
        <f>SUM(D4:S4)</f>
        <v>491.94038420104857</v>
      </c>
    </row>
    <row r="5" spans="1:22" x14ac:dyDescent="0.25">
      <c r="A5" s="105" t="s">
        <v>27</v>
      </c>
      <c r="B5" s="25" t="s">
        <v>99</v>
      </c>
      <c r="C5" s="26" t="s">
        <v>100</v>
      </c>
      <c r="D5" s="68"/>
      <c r="E5" s="68"/>
      <c r="F5" s="44"/>
      <c r="G5" s="23"/>
      <c r="H5" s="23"/>
      <c r="I5" s="23"/>
      <c r="J5" s="23"/>
      <c r="K5" s="21">
        <f>100-(75.82-74.37)/74.37*50</f>
        <v>99.025144547532619</v>
      </c>
      <c r="L5" s="21">
        <f>100-(34.07-29.4)/29.4*50</f>
        <v>92.057823129251702</v>
      </c>
      <c r="M5" s="21">
        <f>100-(98.48-68.88)/68.88*50</f>
        <v>78.513356562137048</v>
      </c>
      <c r="N5" s="21"/>
      <c r="O5" s="21"/>
      <c r="P5" s="19"/>
      <c r="Q5" s="21"/>
      <c r="R5" s="120" t="s">
        <v>33</v>
      </c>
      <c r="S5" s="26"/>
      <c r="T5" s="84">
        <f>SUM(D5:S5)</f>
        <v>269.5963242389214</v>
      </c>
    </row>
    <row r="6" spans="1:22" ht="15.75" thickBot="1" x14ac:dyDescent="0.3">
      <c r="A6" s="106" t="s">
        <v>30</v>
      </c>
      <c r="B6" s="46" t="s">
        <v>172</v>
      </c>
      <c r="C6" s="47" t="s">
        <v>173</v>
      </c>
      <c r="D6" s="72"/>
      <c r="E6" s="49"/>
      <c r="F6" s="50"/>
      <c r="G6" s="50"/>
      <c r="H6" s="49"/>
      <c r="I6" s="49"/>
      <c r="J6" s="49"/>
      <c r="K6" s="49"/>
      <c r="L6" s="115"/>
      <c r="M6" s="49"/>
      <c r="N6" s="49"/>
      <c r="O6" s="49"/>
      <c r="P6" s="52"/>
      <c r="Q6" s="49"/>
      <c r="R6" s="49"/>
      <c r="S6" s="52">
        <f>100-(134.23-69.85)/69.85*50</f>
        <v>53.915533285612028</v>
      </c>
      <c r="T6" s="152">
        <f>SUM(D6:S6)</f>
        <v>53.915533285612028</v>
      </c>
    </row>
    <row r="7" spans="1:22" x14ac:dyDescent="0.25">
      <c r="A7" s="2"/>
      <c r="B7" s="2"/>
      <c r="C7" s="2"/>
      <c r="D7" s="2"/>
      <c r="E7" s="2"/>
      <c r="F7" s="59"/>
      <c r="G7" s="2"/>
      <c r="H7" s="2"/>
      <c r="I7" s="2"/>
      <c r="J7" s="2"/>
      <c r="K7" s="2"/>
      <c r="L7" s="2"/>
      <c r="M7" s="97"/>
      <c r="N7" s="2"/>
      <c r="O7" s="2"/>
      <c r="P7" s="2"/>
      <c r="Q7" s="2"/>
      <c r="R7" s="2"/>
      <c r="S7" s="2"/>
      <c r="T7" s="58"/>
    </row>
    <row r="8" spans="1:22" x14ac:dyDescent="0.25">
      <c r="A8" s="2"/>
      <c r="B8" s="2"/>
      <c r="C8" s="2"/>
      <c r="D8" s="2"/>
      <c r="E8" s="2"/>
      <c r="F8" s="59"/>
      <c r="G8" s="2"/>
      <c r="H8" s="2"/>
      <c r="I8" s="2"/>
      <c r="J8" s="2"/>
      <c r="K8" s="2"/>
      <c r="L8" s="2"/>
      <c r="M8" s="2"/>
      <c r="N8" s="55"/>
      <c r="O8" s="55"/>
      <c r="P8" s="55"/>
      <c r="Q8" s="55"/>
      <c r="R8" s="2"/>
      <c r="S8" s="2"/>
      <c r="T8" s="58"/>
    </row>
    <row r="9" spans="1:22" x14ac:dyDescent="0.25">
      <c r="A9" s="2"/>
      <c r="B9" s="2"/>
      <c r="C9" s="2"/>
      <c r="D9" s="2"/>
      <c r="E9" s="2"/>
      <c r="F9" s="5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2" s="60" customFormat="1" x14ac:dyDescent="0.25">
      <c r="A10" s="60" t="s">
        <v>68</v>
      </c>
    </row>
    <row r="11" spans="1:22" s="61" customFormat="1" x14ac:dyDescent="0.25">
      <c r="A11" s="61" t="s">
        <v>69</v>
      </c>
    </row>
  </sheetData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Férfi Elit</vt:lpstr>
      <vt:lpstr>Női Elit</vt:lpstr>
      <vt:lpstr>N14</vt:lpstr>
      <vt:lpstr>F14</vt:lpstr>
      <vt:lpstr>N15-17</vt:lpstr>
      <vt:lpstr>F15-17</vt:lpstr>
      <vt:lpstr>N18-20</vt:lpstr>
      <vt:lpstr>F18-20</vt:lpstr>
      <vt:lpstr>N21B</vt:lpstr>
      <vt:lpstr>F21B</vt:lpstr>
      <vt:lpstr>N40</vt:lpstr>
      <vt:lpstr>F40</vt:lpstr>
      <vt:lpstr>N50</vt:lpstr>
      <vt:lpstr>F50</vt:lpstr>
      <vt:lpstr>F60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</dc:creator>
  <cp:lastModifiedBy>Tibor</cp:lastModifiedBy>
  <dcterms:created xsi:type="dcterms:W3CDTF">2015-10-05T14:47:48Z</dcterms:created>
  <dcterms:modified xsi:type="dcterms:W3CDTF">2015-10-07T20:50:43Z</dcterms:modified>
</cp:coreProperties>
</file>